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an\Downloads\"/>
    </mc:Choice>
  </mc:AlternateContent>
  <xr:revisionPtr revIDLastSave="0" documentId="8_{ACB433FD-1F9B-43E8-ADA1-586AB17F052F}" xr6:coauthVersionLast="47" xr6:coauthVersionMax="47" xr10:uidLastSave="{00000000-0000-0000-0000-000000000000}"/>
  <bookViews>
    <workbookView xWindow="0" yWindow="0" windowWidth="19200" windowHeight="21600" xr2:uid="{00000000-000D-0000-FFFF-FFFF00000000}"/>
  </bookViews>
  <sheets>
    <sheet name="Excel Amortization Schedule" sheetId="2" r:id="rId1"/>
  </sheets>
  <definedNames>
    <definedName name="ActualNumberOfPayments">IFERROR(IF(LoanIsGood,IF(PaymentsPerYear=1,1,MATCH(0.01,End_Bal,-1)+1)),"")</definedName>
    <definedName name="ColumnTitle1">PaymentSchedule[[#Headers],[PMT NO]]</definedName>
    <definedName name="End_Bal">PaymentSchedule[ENDING BALANCE]</definedName>
    <definedName name="ExtraPayments">'Excel Amortization Schedule'!$D$13</definedName>
    <definedName name="InterestRate">'Excel Amortization Schedule'!$D$8</definedName>
    <definedName name="LastCol">MATCH(REPT("z",255),'Excel Amortization Schedule'!$15:$15)</definedName>
    <definedName name="LastRow">MATCH(9.99E+307,'Excel Amortization Schedule'!$A:$A)</definedName>
    <definedName name="LenderName">'Excel Amortization Schedule'!$G$13:$H$13</definedName>
    <definedName name="LoanAmount">'Excel Amortization Schedule'!$D$7</definedName>
    <definedName name="LoanIsGood">('Excel Amortization Schedule'!$D$7*'Excel Amortization Schedule'!$D$8*'Excel Amortization Schedule'!$D$9*'Excel Amortization Schedule'!$D$11)&gt;0</definedName>
    <definedName name="LoanPeriod">'Excel Amortization Schedule'!$D$9</definedName>
    <definedName name="LoanStartDate">'Excel Amortization Schedule'!$D$11</definedName>
    <definedName name="PaymentsPerYear">'Excel Amortization Schedule'!$D$10</definedName>
    <definedName name="_xlnm.Print_Titles" localSheetId="0">'Excel Amortization Schedule'!$15:$15</definedName>
    <definedName name="PrintArea_SET">OFFSET('Excel Amortization Schedule'!$A$5,,,LastRow,LastCol)</definedName>
    <definedName name="RowTitleRegion1..E9">'Excel Amortization Schedule'!$B$7:$C$7</definedName>
    <definedName name="RowTitleRegion2..I7">'Excel Amortization Schedule'!$F$7:$G$7</definedName>
    <definedName name="RowTitleRegion3..E9">'Excel Amortization Schedule'!$B$13</definedName>
    <definedName name="RowTitleRegion4..H9">'Excel Amortization Schedule'!$F$13</definedName>
    <definedName name="ScheduledNumberOfPayments">'Excel Amortization Schedule'!$H$8</definedName>
    <definedName name="ScheduledPayment">'Excel Amortization Schedule'!$H$7</definedName>
    <definedName name="TotalEarlyPayments">SUM(PaymentSchedule[EXTRA PAYMENT])</definedName>
    <definedName name="TotalInterest">SUM(PaymentSchedule[INTEREST])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7" i="2" s="1"/>
  <c r="A26" i="2" l="1"/>
  <c r="A28" i="2"/>
  <c r="A30" i="2"/>
  <c r="A32" i="2"/>
  <c r="A34" i="2"/>
  <c r="A36" i="2"/>
  <c r="A38" i="2"/>
  <c r="A40" i="2"/>
  <c r="A42" i="2"/>
  <c r="A44" i="2"/>
  <c r="A27" i="2"/>
  <c r="A29" i="2"/>
  <c r="A31" i="2"/>
  <c r="A33" i="2"/>
  <c r="A35" i="2"/>
  <c r="A37" i="2"/>
  <c r="A39" i="2"/>
  <c r="A41" i="2"/>
  <c r="A43" i="2"/>
  <c r="A45" i="2"/>
  <c r="A47" i="2"/>
  <c r="A46" i="2"/>
  <c r="A53" i="2"/>
  <c r="A54" i="2"/>
  <c r="A51" i="2"/>
  <c r="A52" i="2"/>
  <c r="A49" i="2"/>
  <c r="A50" i="2"/>
  <c r="A57" i="2"/>
  <c r="A58" i="2"/>
  <c r="A61" i="2"/>
  <c r="A62" i="2"/>
  <c r="A69" i="2"/>
  <c r="A70" i="2"/>
  <c r="A77" i="2"/>
  <c r="A78" i="2"/>
  <c r="A79" i="2"/>
  <c r="A81" i="2"/>
  <c r="A83" i="2"/>
  <c r="A85" i="2"/>
  <c r="A87" i="2"/>
  <c r="A89" i="2"/>
  <c r="A91" i="2"/>
  <c r="A93" i="2"/>
  <c r="A60" i="2"/>
  <c r="A67" i="2"/>
  <c r="A68" i="2"/>
  <c r="A75" i="2"/>
  <c r="A76" i="2"/>
  <c r="A65" i="2"/>
  <c r="A66" i="2"/>
  <c r="A73" i="2"/>
  <c r="A74" i="2"/>
  <c r="A80" i="2"/>
  <c r="A82" i="2"/>
  <c r="A84" i="2"/>
  <c r="A86" i="2"/>
  <c r="A88" i="2"/>
  <c r="A90" i="2"/>
  <c r="A92" i="2"/>
  <c r="A94" i="2"/>
  <c r="A96" i="2"/>
  <c r="A98" i="2"/>
  <c r="A100" i="2"/>
  <c r="A102" i="2"/>
  <c r="A104" i="2"/>
  <c r="A106" i="2"/>
  <c r="A108" i="2"/>
  <c r="A110" i="2"/>
  <c r="A112" i="2"/>
  <c r="A114" i="2"/>
  <c r="A116" i="2"/>
  <c r="A56" i="2"/>
  <c r="A64" i="2"/>
  <c r="A97" i="2"/>
  <c r="A105" i="2"/>
  <c r="A113" i="2"/>
  <c r="A117" i="2"/>
  <c r="A119" i="2"/>
  <c r="A121" i="2"/>
  <c r="A123" i="2"/>
  <c r="A125" i="2"/>
  <c r="A127" i="2"/>
  <c r="A129" i="2"/>
  <c r="A131" i="2"/>
  <c r="A133" i="2"/>
  <c r="A135" i="2"/>
  <c r="A71" i="2"/>
  <c r="A95" i="2"/>
  <c r="A103" i="2"/>
  <c r="A111" i="2"/>
  <c r="A63" i="2"/>
  <c r="A101" i="2"/>
  <c r="A109" i="2"/>
  <c r="A118" i="2"/>
  <c r="A120" i="2"/>
  <c r="A122" i="2"/>
  <c r="A124" i="2"/>
  <c r="A126" i="2"/>
  <c r="A128" i="2"/>
  <c r="A130" i="2"/>
  <c r="A132" i="2"/>
  <c r="A134" i="2"/>
  <c r="A48" i="2"/>
  <c r="A72" i="2"/>
  <c r="A115" i="2"/>
  <c r="A55" i="2"/>
  <c r="A107" i="2"/>
  <c r="A59" i="2"/>
  <c r="A99" i="2"/>
  <c r="A24" i="2"/>
  <c r="A23" i="2"/>
  <c r="A16" i="2"/>
  <c r="A22" i="2"/>
  <c r="A21" i="2"/>
  <c r="A20" i="2"/>
  <c r="A19" i="2"/>
  <c r="A18" i="2"/>
  <c r="A25" i="2"/>
  <c r="A17" i="2"/>
  <c r="D128" i="2" l="1"/>
  <c r="B128" i="2"/>
  <c r="D120" i="2"/>
  <c r="B120" i="2"/>
  <c r="D71" i="2"/>
  <c r="B71" i="2"/>
  <c r="B129" i="2"/>
  <c r="D129" i="2"/>
  <c r="B105" i="2"/>
  <c r="D105" i="2"/>
  <c r="D116" i="2"/>
  <c r="B116" i="2"/>
  <c r="D108" i="2"/>
  <c r="B108" i="2"/>
  <c r="D100" i="2"/>
  <c r="B100" i="2"/>
  <c r="D92" i="2"/>
  <c r="B92" i="2"/>
  <c r="D84" i="2"/>
  <c r="B84" i="2"/>
  <c r="D73" i="2"/>
  <c r="B73" i="2"/>
  <c r="D75" i="2"/>
  <c r="B75" i="2"/>
  <c r="B93" i="2"/>
  <c r="D93" i="2"/>
  <c r="B85" i="2"/>
  <c r="D85" i="2"/>
  <c r="B78" i="2"/>
  <c r="D78" i="2"/>
  <c r="B62" i="2"/>
  <c r="D62" i="2"/>
  <c r="B50" i="2"/>
  <c r="D50" i="2"/>
  <c r="B54" i="2"/>
  <c r="D54" i="2"/>
  <c r="D45" i="2"/>
  <c r="B45" i="2"/>
  <c r="D37" i="2"/>
  <c r="B37" i="2"/>
  <c r="D29" i="2"/>
  <c r="B29" i="2"/>
  <c r="B40" i="2"/>
  <c r="D40" i="2"/>
  <c r="B32" i="2"/>
  <c r="D32" i="2"/>
  <c r="D59" i="2"/>
  <c r="B59" i="2"/>
  <c r="D134" i="2"/>
  <c r="B134" i="2"/>
  <c r="D126" i="2"/>
  <c r="B126" i="2"/>
  <c r="D118" i="2"/>
  <c r="B118" i="2"/>
  <c r="B111" i="2"/>
  <c r="D111" i="2"/>
  <c r="B135" i="2"/>
  <c r="D135" i="2"/>
  <c r="B127" i="2"/>
  <c r="D127" i="2"/>
  <c r="B119" i="2"/>
  <c r="D119" i="2"/>
  <c r="B97" i="2"/>
  <c r="D97" i="2"/>
  <c r="B114" i="2"/>
  <c r="D114" i="2"/>
  <c r="B106" i="2"/>
  <c r="D106" i="2"/>
  <c r="B98" i="2"/>
  <c r="D98" i="2"/>
  <c r="D90" i="2"/>
  <c r="B90" i="2"/>
  <c r="D82" i="2"/>
  <c r="B82" i="2"/>
  <c r="B66" i="2"/>
  <c r="D66" i="2"/>
  <c r="B68" i="2"/>
  <c r="D68" i="2"/>
  <c r="B91" i="2"/>
  <c r="D91" i="2"/>
  <c r="B83" i="2"/>
  <c r="D83" i="2"/>
  <c r="D77" i="2"/>
  <c r="B77" i="2"/>
  <c r="D61" i="2"/>
  <c r="B61" i="2"/>
  <c r="D49" i="2"/>
  <c r="B49" i="2"/>
  <c r="D53" i="2"/>
  <c r="B53" i="2"/>
  <c r="D43" i="2"/>
  <c r="B43" i="2"/>
  <c r="D35" i="2"/>
  <c r="B35" i="2"/>
  <c r="D27" i="2"/>
  <c r="B27" i="2"/>
  <c r="B38" i="2"/>
  <c r="D38" i="2"/>
  <c r="B30" i="2"/>
  <c r="D30" i="2"/>
  <c r="B99" i="2"/>
  <c r="D99" i="2"/>
  <c r="B48" i="2"/>
  <c r="D48" i="2"/>
  <c r="D63" i="2"/>
  <c r="B63" i="2"/>
  <c r="B107" i="2"/>
  <c r="D107" i="2"/>
  <c r="B115" i="2"/>
  <c r="D115" i="2"/>
  <c r="D132" i="2"/>
  <c r="B132" i="2"/>
  <c r="D124" i="2"/>
  <c r="B124" i="2"/>
  <c r="D109" i="2"/>
  <c r="B109" i="2"/>
  <c r="B103" i="2"/>
  <c r="D103" i="2"/>
  <c r="B133" i="2"/>
  <c r="D133" i="2"/>
  <c r="B125" i="2"/>
  <c r="D125" i="2"/>
  <c r="B117" i="2"/>
  <c r="D117" i="2"/>
  <c r="B64" i="2"/>
  <c r="D64" i="2"/>
  <c r="B112" i="2"/>
  <c r="D112" i="2"/>
  <c r="B104" i="2"/>
  <c r="D104" i="2"/>
  <c r="B96" i="2"/>
  <c r="D96" i="2"/>
  <c r="D88" i="2"/>
  <c r="B88" i="2"/>
  <c r="D80" i="2"/>
  <c r="B80" i="2"/>
  <c r="D65" i="2"/>
  <c r="B65" i="2"/>
  <c r="D67" i="2"/>
  <c r="B67" i="2"/>
  <c r="B89" i="2"/>
  <c r="D89" i="2"/>
  <c r="B81" i="2"/>
  <c r="D81" i="2"/>
  <c r="B70" i="2"/>
  <c r="D70" i="2"/>
  <c r="B58" i="2"/>
  <c r="D58" i="2"/>
  <c r="B52" i="2"/>
  <c r="D52" i="2"/>
  <c r="B46" i="2"/>
  <c r="D46" i="2"/>
  <c r="D41" i="2"/>
  <c r="B41" i="2"/>
  <c r="D33" i="2"/>
  <c r="B33" i="2"/>
  <c r="B44" i="2"/>
  <c r="D44" i="2"/>
  <c r="B36" i="2"/>
  <c r="D36" i="2"/>
  <c r="B28" i="2"/>
  <c r="D28" i="2"/>
  <c r="B121" i="2"/>
  <c r="D121" i="2"/>
  <c r="D55" i="2"/>
  <c r="B55" i="2"/>
  <c r="B72" i="2"/>
  <c r="D72" i="2"/>
  <c r="D130" i="2"/>
  <c r="B130" i="2"/>
  <c r="D122" i="2"/>
  <c r="B122" i="2"/>
  <c r="D101" i="2"/>
  <c r="B101" i="2"/>
  <c r="B95" i="2"/>
  <c r="D95" i="2"/>
  <c r="B131" i="2"/>
  <c r="D131" i="2"/>
  <c r="B123" i="2"/>
  <c r="D123" i="2"/>
  <c r="B113" i="2"/>
  <c r="D113" i="2"/>
  <c r="B56" i="2"/>
  <c r="D56" i="2"/>
  <c r="D110" i="2"/>
  <c r="B110" i="2"/>
  <c r="D102" i="2"/>
  <c r="B102" i="2"/>
  <c r="D94" i="2"/>
  <c r="B94" i="2"/>
  <c r="D86" i="2"/>
  <c r="B86" i="2"/>
  <c r="B74" i="2"/>
  <c r="D74" i="2"/>
  <c r="B76" i="2"/>
  <c r="D76" i="2"/>
  <c r="B60" i="2"/>
  <c r="D60" i="2"/>
  <c r="B87" i="2"/>
  <c r="D87" i="2"/>
  <c r="B79" i="2"/>
  <c r="D79" i="2"/>
  <c r="D69" i="2"/>
  <c r="B69" i="2"/>
  <c r="D57" i="2"/>
  <c r="B57" i="2"/>
  <c r="D51" i="2"/>
  <c r="B51" i="2"/>
  <c r="D47" i="2"/>
  <c r="B47" i="2"/>
  <c r="D39" i="2"/>
  <c r="B39" i="2"/>
  <c r="D31" i="2"/>
  <c r="B31" i="2"/>
  <c r="B42" i="2"/>
  <c r="D42" i="2"/>
  <c r="B34" i="2"/>
  <c r="D34" i="2"/>
  <c r="B26" i="2"/>
  <c r="D26" i="2"/>
  <c r="D17" i="2"/>
  <c r="D20" i="2"/>
  <c r="D21" i="2"/>
  <c r="D22" i="2"/>
  <c r="D25" i="2"/>
  <c r="D19" i="2"/>
  <c r="D23" i="2"/>
  <c r="D18" i="2"/>
  <c r="D16" i="2"/>
  <c r="C16" i="2"/>
  <c r="D24" i="2"/>
  <c r="B16" i="2"/>
  <c r="B17" i="2"/>
  <c r="B18" i="2"/>
  <c r="H16" i="2" l="1"/>
  <c r="E16" i="2"/>
  <c r="J16" i="2"/>
  <c r="B19" i="2"/>
  <c r="B20" i="2" l="1"/>
  <c r="B21" i="2" l="1"/>
  <c r="B22" i="2" l="1"/>
  <c r="B23" i="2" l="1"/>
  <c r="B24" i="2"/>
  <c r="B25" i="2" l="1"/>
  <c r="F16" i="2" l="1"/>
  <c r="G16" i="2" s="1"/>
  <c r="I16" i="2" l="1"/>
  <c r="C17" i="2" s="1"/>
  <c r="E17" i="2" s="1"/>
  <c r="H17" i="2" l="1"/>
  <c r="F17" i="2"/>
  <c r="J17" i="2" l="1"/>
  <c r="G17" i="2"/>
  <c r="I17" i="2" l="1"/>
  <c r="C18" i="2" s="1"/>
  <c r="E18" i="2" s="1"/>
  <c r="H18" i="2" l="1"/>
  <c r="J18" i="2" s="1"/>
  <c r="F18" i="2" l="1"/>
  <c r="G18" i="2" s="1"/>
  <c r="I18" i="2" l="1"/>
  <c r="C19" i="2" s="1"/>
  <c r="E19" i="2" s="1"/>
  <c r="H19" i="2" l="1"/>
  <c r="J19" i="2" s="1"/>
  <c r="F19" i="2"/>
  <c r="G19" i="2" l="1"/>
  <c r="I19" i="2" s="1"/>
  <c r="C20" i="2" s="1"/>
  <c r="E20" i="2" s="1"/>
  <c r="H20" i="2" l="1"/>
  <c r="J20" i="2" s="1"/>
  <c r="F20" i="2"/>
  <c r="G20" i="2" l="1"/>
  <c r="I20" i="2" l="1"/>
  <c r="C21" i="2" s="1"/>
  <c r="F21" i="2" s="1"/>
  <c r="H21" i="2" l="1"/>
  <c r="G21" i="2" s="1"/>
  <c r="I21" i="2" s="1"/>
  <c r="C22" i="2" s="1"/>
  <c r="E22" i="2" s="1"/>
  <c r="J21" i="2" l="1"/>
  <c r="H22" i="2"/>
  <c r="J22" i="2" s="1"/>
  <c r="F22" i="2"/>
  <c r="G22" i="2" l="1"/>
  <c r="I22" i="2" l="1"/>
  <c r="C23" i="2" s="1"/>
  <c r="E23" i="2" s="1"/>
  <c r="F23" i="2" s="1"/>
  <c r="H23" i="2" l="1"/>
  <c r="J23" i="2" s="1"/>
  <c r="G23" i="2" l="1"/>
  <c r="I23" i="2" l="1"/>
  <c r="C24" i="2" s="1"/>
  <c r="E24" i="2" l="1"/>
  <c r="F24" i="2" s="1"/>
  <c r="H24" i="2"/>
  <c r="J24" i="2" s="1"/>
  <c r="G24" i="2" l="1"/>
  <c r="I24" i="2" s="1"/>
  <c r="C25" i="2" s="1"/>
  <c r="E25" i="2" l="1"/>
  <c r="H25" i="2"/>
  <c r="J25" i="2" s="1"/>
  <c r="F25" i="2" l="1"/>
  <c r="G25" i="2" s="1"/>
  <c r="I25" i="2" l="1"/>
  <c r="C26" i="2" s="1"/>
  <c r="E26" i="2" l="1"/>
  <c r="H26" i="2"/>
  <c r="J26" i="2" s="1"/>
  <c r="F26" i="2" l="1"/>
  <c r="G26" i="2" s="1"/>
  <c r="I26" i="2" s="1"/>
  <c r="C27" i="2" s="1"/>
  <c r="E27" i="2" l="1"/>
  <c r="F27" i="2" s="1"/>
  <c r="H27" i="2"/>
  <c r="J27" i="2" s="1"/>
  <c r="G27" i="2" l="1"/>
  <c r="I27" i="2" s="1"/>
  <c r="C28" i="2" s="1"/>
  <c r="E28" i="2" s="1"/>
  <c r="F28" i="2" s="1"/>
  <c r="H28" i="2" l="1"/>
  <c r="J28" i="2" s="1"/>
  <c r="G28" i="2" l="1"/>
  <c r="I28" i="2" s="1"/>
  <c r="C29" i="2" s="1"/>
  <c r="E29" i="2" l="1"/>
  <c r="F29" i="2" s="1"/>
  <c r="H29" i="2"/>
  <c r="J29" i="2" s="1"/>
  <c r="G29" i="2" l="1"/>
  <c r="I29" i="2" s="1"/>
  <c r="C30" i="2" s="1"/>
  <c r="E30" i="2" s="1"/>
  <c r="F30" i="2" s="1"/>
  <c r="H30" i="2" l="1"/>
  <c r="J30" i="2" s="1"/>
  <c r="G30" i="2" l="1"/>
  <c r="I30" i="2" s="1"/>
  <c r="C31" i="2" s="1"/>
  <c r="E31" i="2" s="1"/>
  <c r="H31" i="2" l="1"/>
  <c r="J31" i="2" s="1"/>
  <c r="F31" i="2"/>
  <c r="G31" i="2" l="1"/>
  <c r="I31" i="2" l="1"/>
  <c r="C32" i="2" s="1"/>
  <c r="E32" i="2" s="1"/>
  <c r="H32" i="2" l="1"/>
  <c r="J32" i="2" s="1"/>
  <c r="F32" i="2"/>
  <c r="G32" i="2" l="1"/>
  <c r="I32" i="2" l="1"/>
  <c r="C33" i="2" s="1"/>
  <c r="H33" i="2" l="1"/>
  <c r="J33" i="2" s="1"/>
  <c r="F33" i="2"/>
  <c r="G33" i="2" l="1"/>
  <c r="I33" i="2" s="1"/>
  <c r="C34" i="2" s="1"/>
  <c r="E34" i="2" s="1"/>
  <c r="H34" i="2" l="1"/>
  <c r="J34" i="2" s="1"/>
  <c r="F34" i="2"/>
  <c r="G34" i="2" l="1"/>
  <c r="I34" i="2" l="1"/>
  <c r="C35" i="2" s="1"/>
  <c r="E35" i="2" s="1"/>
  <c r="F35" i="2" s="1"/>
  <c r="H35" i="2" l="1"/>
  <c r="J35" i="2" s="1"/>
  <c r="G35" i="2" l="1"/>
  <c r="I35" i="2" s="1"/>
  <c r="C36" i="2" s="1"/>
  <c r="E36" i="2" s="1"/>
  <c r="F36" i="2" s="1"/>
  <c r="H36" i="2" l="1"/>
  <c r="J36" i="2" s="1"/>
  <c r="G36" i="2" l="1"/>
  <c r="I36" i="2" s="1"/>
  <c r="C37" i="2" s="1"/>
  <c r="E37" i="2" s="1"/>
  <c r="F37" i="2" s="1"/>
  <c r="H37" i="2" l="1"/>
  <c r="J37" i="2" s="1"/>
  <c r="G37" i="2" l="1"/>
  <c r="I37" i="2" l="1"/>
  <c r="C38" i="2" s="1"/>
  <c r="E38" i="2" l="1"/>
  <c r="F38" i="2" s="1"/>
  <c r="H38" i="2"/>
  <c r="J38" i="2" s="1"/>
  <c r="G38" i="2" l="1"/>
  <c r="I38" i="2" s="1"/>
  <c r="C39" i="2" s="1"/>
  <c r="E39" i="2" l="1"/>
  <c r="H39" i="2"/>
  <c r="J39" i="2" s="1"/>
  <c r="F39" i="2" l="1"/>
  <c r="G39" i="2" s="1"/>
  <c r="I39" i="2" s="1"/>
  <c r="C40" i="2" s="1"/>
  <c r="E40" i="2" l="1"/>
  <c r="H40" i="2"/>
  <c r="J40" i="2" s="1"/>
  <c r="F40" i="2" l="1"/>
  <c r="G40" i="2" s="1"/>
  <c r="I40" i="2" s="1"/>
  <c r="C41" i="2" s="1"/>
  <c r="E41" i="2" l="1"/>
  <c r="H41" i="2"/>
  <c r="J41" i="2" s="1"/>
  <c r="F41" i="2" l="1"/>
  <c r="G41" i="2" s="1"/>
  <c r="I41" i="2" s="1"/>
  <c r="C42" i="2" s="1"/>
  <c r="E42" i="2" l="1"/>
  <c r="F42" i="2" s="1"/>
  <c r="H42" i="2"/>
  <c r="J42" i="2" s="1"/>
  <c r="G42" i="2" l="1"/>
  <c r="I42" i="2" s="1"/>
  <c r="C43" i="2" s="1"/>
  <c r="E43" i="2" s="1"/>
  <c r="F43" i="2" s="1"/>
  <c r="H43" i="2" l="1"/>
  <c r="J43" i="2" s="1"/>
  <c r="G43" i="2" l="1"/>
  <c r="I43" i="2" s="1"/>
  <c r="C44" i="2" s="1"/>
  <c r="E44" i="2" s="1"/>
  <c r="F44" i="2" s="1"/>
  <c r="H44" i="2" l="1"/>
  <c r="J44" i="2" s="1"/>
  <c r="G44" i="2" l="1"/>
  <c r="I44" i="2" l="1"/>
  <c r="C45" i="2" s="1"/>
  <c r="H45" i="2" l="1"/>
  <c r="J45" i="2" s="1"/>
  <c r="F45" i="2"/>
  <c r="G45" i="2" l="1"/>
  <c r="I45" i="2" s="1"/>
  <c r="C46" i="2" s="1"/>
  <c r="E46" i="2" l="1"/>
  <c r="H46" i="2"/>
  <c r="J46" i="2" s="1"/>
  <c r="F46" i="2" l="1"/>
  <c r="G46" i="2" s="1"/>
  <c r="I46" i="2" s="1"/>
  <c r="C47" i="2" s="1"/>
  <c r="E47" i="2" l="1"/>
  <c r="H47" i="2"/>
  <c r="J47" i="2" s="1"/>
  <c r="F47" i="2" l="1"/>
  <c r="G47" i="2" s="1"/>
  <c r="I47" i="2" s="1"/>
  <c r="C48" i="2" s="1"/>
  <c r="E48" i="2" l="1"/>
  <c r="H48" i="2"/>
  <c r="J48" i="2" s="1"/>
  <c r="F48" i="2" l="1"/>
  <c r="G48" i="2" s="1"/>
  <c r="I48" i="2" s="1"/>
  <c r="C49" i="2" s="1"/>
  <c r="E49" i="2" l="1"/>
  <c r="H49" i="2"/>
  <c r="J49" i="2" s="1"/>
  <c r="F49" i="2" l="1"/>
  <c r="G49" i="2" s="1"/>
  <c r="I49" i="2" s="1"/>
  <c r="C50" i="2" s="1"/>
  <c r="E50" i="2" l="1"/>
  <c r="H50" i="2"/>
  <c r="J50" i="2" s="1"/>
  <c r="F50" i="2" l="1"/>
  <c r="G50" i="2" s="1"/>
  <c r="I50" i="2" s="1"/>
  <c r="C51" i="2" s="1"/>
  <c r="E51" i="2" l="1"/>
  <c r="F51" i="2" s="1"/>
  <c r="H51" i="2"/>
  <c r="J51" i="2" s="1"/>
  <c r="G51" i="2" l="1"/>
  <c r="I51" i="2" s="1"/>
  <c r="C52" i="2" s="1"/>
  <c r="E52" i="2" l="1"/>
  <c r="H52" i="2"/>
  <c r="J52" i="2" s="1"/>
  <c r="F52" i="2" l="1"/>
  <c r="G52" i="2" s="1"/>
  <c r="I52" i="2" s="1"/>
  <c r="C53" i="2" s="1"/>
  <c r="E53" i="2" l="1"/>
  <c r="F53" i="2" s="1"/>
  <c r="H53" i="2"/>
  <c r="J53" i="2" s="1"/>
  <c r="G53" i="2" l="1"/>
  <c r="I53" i="2" s="1"/>
  <c r="C54" i="2" s="1"/>
  <c r="E54" i="2" l="1"/>
  <c r="F54" i="2" s="1"/>
  <c r="H54" i="2"/>
  <c r="J54" i="2" s="1"/>
  <c r="G54" i="2" l="1"/>
  <c r="I54" i="2" s="1"/>
  <c r="C55" i="2" s="1"/>
  <c r="E55" i="2" l="1"/>
  <c r="F55" i="2" s="1"/>
  <c r="H55" i="2"/>
  <c r="J55" i="2" s="1"/>
  <c r="G55" i="2" l="1"/>
  <c r="I55" i="2" s="1"/>
  <c r="C56" i="2" s="1"/>
  <c r="E56" i="2" s="1"/>
  <c r="F56" i="2" s="1"/>
  <c r="H56" i="2" l="1"/>
  <c r="J56" i="2" s="1"/>
  <c r="G56" i="2" l="1"/>
  <c r="I56" i="2" s="1"/>
  <c r="C57" i="2" s="1"/>
  <c r="H57" i="2" s="1"/>
  <c r="J57" i="2" s="1"/>
  <c r="F57" i="2" l="1"/>
  <c r="G57" i="2" s="1"/>
  <c r="I57" i="2" s="1"/>
  <c r="C58" i="2" s="1"/>
  <c r="E58" i="2" s="1"/>
  <c r="F58" i="2" s="1"/>
  <c r="H58" i="2" l="1"/>
  <c r="J58" i="2" s="1"/>
  <c r="G58" i="2" l="1"/>
  <c r="I58" i="2" s="1"/>
  <c r="C59" i="2" s="1"/>
  <c r="E59" i="2" s="1"/>
  <c r="F59" i="2" s="1"/>
  <c r="H59" i="2" l="1"/>
  <c r="J59" i="2" s="1"/>
  <c r="G59" i="2" l="1"/>
  <c r="I59" i="2" s="1"/>
  <c r="C60" i="2" s="1"/>
  <c r="E60" i="2" s="1"/>
  <c r="F60" i="2" s="1"/>
  <c r="H60" i="2" l="1"/>
  <c r="J60" i="2" s="1"/>
  <c r="G60" i="2" l="1"/>
  <c r="I60" i="2" s="1"/>
  <c r="C61" i="2" s="1"/>
  <c r="E61" i="2" s="1"/>
  <c r="F61" i="2" s="1"/>
  <c r="H61" i="2" l="1"/>
  <c r="J61" i="2" s="1"/>
  <c r="G61" i="2" l="1"/>
  <c r="I61" i="2" s="1"/>
  <c r="C62" i="2" s="1"/>
  <c r="E62" i="2" s="1"/>
  <c r="F62" i="2" s="1"/>
  <c r="H62" i="2" l="1"/>
  <c r="J62" i="2" s="1"/>
  <c r="G62" i="2" l="1"/>
  <c r="I62" i="2" s="1"/>
  <c r="C63" i="2" s="1"/>
  <c r="H63" i="2" s="1"/>
  <c r="J63" i="2" s="1"/>
  <c r="F63" i="2" l="1"/>
  <c r="G63" i="2" s="1"/>
  <c r="I63" i="2" s="1"/>
  <c r="C64" i="2" s="1"/>
  <c r="E64" i="2" s="1"/>
  <c r="F64" i="2" s="1"/>
  <c r="H64" i="2" l="1"/>
  <c r="J64" i="2" s="1"/>
  <c r="G64" i="2" l="1"/>
  <c r="I64" i="2" s="1"/>
  <c r="C65" i="2" s="1"/>
  <c r="E65" i="2" s="1"/>
  <c r="F65" i="2" s="1"/>
  <c r="H65" i="2" l="1"/>
  <c r="J65" i="2" s="1"/>
  <c r="G65" i="2" l="1"/>
  <c r="I65" i="2" s="1"/>
  <c r="C66" i="2" s="1"/>
  <c r="E66" i="2" s="1"/>
  <c r="F66" i="2" s="1"/>
  <c r="H66" i="2" l="1"/>
  <c r="J66" i="2" s="1"/>
  <c r="G66" i="2"/>
  <c r="I66" i="2" s="1"/>
  <c r="C67" i="2" s="1"/>
  <c r="E67" i="2" s="1"/>
  <c r="H67" i="2" l="1"/>
  <c r="J67" i="2" s="1"/>
  <c r="F67" i="2"/>
  <c r="G67" i="2" l="1"/>
  <c r="I67" i="2" s="1"/>
  <c r="C68" i="2" s="1"/>
  <c r="E68" i="2" s="1"/>
  <c r="H68" i="2" l="1"/>
  <c r="J68" i="2" s="1"/>
  <c r="F68" i="2"/>
  <c r="G68" i="2" l="1"/>
  <c r="I68" i="2" s="1"/>
  <c r="C69" i="2" s="1"/>
  <c r="E69" i="2" s="1"/>
  <c r="H69" i="2" l="1"/>
  <c r="J69" i="2" s="1"/>
  <c r="F69" i="2"/>
  <c r="G69" i="2" l="1"/>
  <c r="I69" i="2" s="1"/>
  <c r="C70" i="2" s="1"/>
  <c r="E70" i="2" s="1"/>
  <c r="H70" i="2" l="1"/>
  <c r="J70" i="2" s="1"/>
  <c r="F70" i="2"/>
  <c r="G70" i="2" l="1"/>
  <c r="I70" i="2" s="1"/>
  <c r="C71" i="2" s="1"/>
  <c r="E71" i="2" s="1"/>
  <c r="H71" i="2" l="1"/>
  <c r="J71" i="2" s="1"/>
  <c r="F71" i="2"/>
  <c r="G71" i="2" l="1"/>
  <c r="I71" i="2" s="1"/>
  <c r="C72" i="2" s="1"/>
  <c r="E72" i="2" s="1"/>
  <c r="H72" i="2" l="1"/>
  <c r="J72" i="2" s="1"/>
  <c r="F72" i="2"/>
  <c r="G72" i="2" l="1"/>
  <c r="I72" i="2"/>
  <c r="C73" i="2" s="1"/>
  <c r="E73" i="2" s="1"/>
  <c r="H73" i="2" l="1"/>
  <c r="J73" i="2" s="1"/>
  <c r="F73" i="2"/>
  <c r="G73" i="2" l="1"/>
  <c r="I73" i="2"/>
  <c r="C74" i="2" s="1"/>
  <c r="E74" i="2" s="1"/>
  <c r="H74" i="2" l="1"/>
  <c r="J74" i="2" s="1"/>
  <c r="F74" i="2"/>
  <c r="G74" i="2" l="1"/>
  <c r="I74" i="2" s="1"/>
  <c r="C75" i="2" s="1"/>
  <c r="E75" i="2" s="1"/>
  <c r="H75" i="2" l="1"/>
  <c r="J75" i="2" s="1"/>
  <c r="F75" i="2"/>
  <c r="G75" i="2" l="1"/>
  <c r="I75" i="2" s="1"/>
  <c r="C76" i="2" s="1"/>
  <c r="E76" i="2" s="1"/>
  <c r="H76" i="2" l="1"/>
  <c r="J76" i="2" s="1"/>
  <c r="F76" i="2"/>
  <c r="G76" i="2" l="1"/>
  <c r="I76" i="2" s="1"/>
  <c r="C77" i="2" s="1"/>
  <c r="E77" i="2" s="1"/>
  <c r="H77" i="2" l="1"/>
  <c r="J77" i="2" s="1"/>
  <c r="F77" i="2"/>
  <c r="G77" i="2" l="1"/>
  <c r="I77" i="2" s="1"/>
  <c r="C78" i="2" s="1"/>
  <c r="E78" i="2" s="1"/>
  <c r="H78" i="2" l="1"/>
  <c r="J78" i="2" s="1"/>
  <c r="F78" i="2"/>
  <c r="G78" i="2" l="1"/>
  <c r="I78" i="2" s="1"/>
  <c r="C79" i="2" s="1"/>
  <c r="E79" i="2" s="1"/>
  <c r="H79" i="2" l="1"/>
  <c r="J79" i="2" s="1"/>
  <c r="F79" i="2"/>
  <c r="G79" i="2" l="1"/>
  <c r="I79" i="2" s="1"/>
  <c r="C80" i="2" s="1"/>
  <c r="E80" i="2" s="1"/>
  <c r="H80" i="2" l="1"/>
  <c r="J80" i="2" s="1"/>
  <c r="F80" i="2"/>
  <c r="G80" i="2" l="1"/>
  <c r="I80" i="2" s="1"/>
  <c r="C81" i="2" s="1"/>
  <c r="E81" i="2" s="1"/>
  <c r="H81" i="2" l="1"/>
  <c r="J81" i="2" s="1"/>
  <c r="F81" i="2"/>
  <c r="G81" i="2" l="1"/>
  <c r="I81" i="2" s="1"/>
  <c r="C82" i="2" s="1"/>
  <c r="E82" i="2" s="1"/>
  <c r="H82" i="2" l="1"/>
  <c r="J82" i="2" s="1"/>
  <c r="F82" i="2"/>
  <c r="G82" i="2" l="1"/>
  <c r="I82" i="2" s="1"/>
  <c r="C83" i="2" s="1"/>
  <c r="E83" i="2" s="1"/>
  <c r="H83" i="2" l="1"/>
  <c r="J83" i="2" s="1"/>
  <c r="F83" i="2"/>
  <c r="G83" i="2" l="1"/>
  <c r="I83" i="2" s="1"/>
  <c r="C84" i="2" s="1"/>
  <c r="E84" i="2" s="1"/>
  <c r="H84" i="2" l="1"/>
  <c r="J84" i="2" s="1"/>
  <c r="F84" i="2"/>
  <c r="G84" i="2" l="1"/>
  <c r="I84" i="2" s="1"/>
  <c r="C85" i="2" s="1"/>
  <c r="E85" i="2" s="1"/>
  <c r="H85" i="2" l="1"/>
  <c r="J85" i="2" s="1"/>
  <c r="F85" i="2"/>
  <c r="G85" i="2" l="1"/>
  <c r="I85" i="2" s="1"/>
  <c r="C86" i="2" s="1"/>
  <c r="E86" i="2" s="1"/>
  <c r="H86" i="2" l="1"/>
  <c r="J86" i="2" s="1"/>
  <c r="F86" i="2"/>
  <c r="G86" i="2" l="1"/>
  <c r="I86" i="2" s="1"/>
  <c r="C87" i="2" s="1"/>
  <c r="E87" i="2" s="1"/>
  <c r="H87" i="2" l="1"/>
  <c r="J87" i="2" s="1"/>
  <c r="F87" i="2"/>
  <c r="G87" i="2" l="1"/>
  <c r="I87" i="2" s="1"/>
  <c r="C88" i="2" s="1"/>
  <c r="E88" i="2" s="1"/>
  <c r="H88" i="2" l="1"/>
  <c r="J88" i="2" s="1"/>
  <c r="F88" i="2"/>
  <c r="G88" i="2" l="1"/>
  <c r="I88" i="2" s="1"/>
  <c r="C89" i="2" s="1"/>
  <c r="E89" i="2" s="1"/>
  <c r="H89" i="2" l="1"/>
  <c r="J89" i="2" s="1"/>
  <c r="F89" i="2"/>
  <c r="G89" i="2" l="1"/>
  <c r="I89" i="2" s="1"/>
  <c r="C90" i="2" s="1"/>
  <c r="E90" i="2" s="1"/>
  <c r="H90" i="2" l="1"/>
  <c r="J90" i="2" s="1"/>
  <c r="F90" i="2"/>
  <c r="G90" i="2" l="1"/>
  <c r="I90" i="2" s="1"/>
  <c r="C91" i="2" s="1"/>
  <c r="E91" i="2" s="1"/>
  <c r="H91" i="2" l="1"/>
  <c r="J91" i="2" s="1"/>
  <c r="F91" i="2"/>
  <c r="G91" i="2" l="1"/>
  <c r="I91" i="2" s="1"/>
  <c r="C92" i="2" s="1"/>
  <c r="E92" i="2" s="1"/>
  <c r="H92" i="2" l="1"/>
  <c r="J92" i="2" s="1"/>
  <c r="F92" i="2"/>
  <c r="G92" i="2" l="1"/>
  <c r="I92" i="2" s="1"/>
  <c r="C93" i="2" s="1"/>
  <c r="E93" i="2" s="1"/>
  <c r="H93" i="2" l="1"/>
  <c r="J93" i="2" s="1"/>
  <c r="F93" i="2"/>
  <c r="G93" i="2" l="1"/>
  <c r="I93" i="2" s="1"/>
  <c r="C94" i="2" s="1"/>
  <c r="E94" i="2" s="1"/>
  <c r="H94" i="2" l="1"/>
  <c r="J94" i="2" s="1"/>
  <c r="F94" i="2"/>
  <c r="G94" i="2" l="1"/>
  <c r="I94" i="2" s="1"/>
  <c r="C95" i="2" s="1"/>
  <c r="E95" i="2" s="1"/>
  <c r="H95" i="2" l="1"/>
  <c r="J95" i="2" s="1"/>
  <c r="F95" i="2"/>
  <c r="G95" i="2" l="1"/>
  <c r="I95" i="2" s="1"/>
  <c r="C96" i="2" s="1"/>
  <c r="E96" i="2" s="1"/>
  <c r="H96" i="2" l="1"/>
  <c r="J96" i="2" s="1"/>
  <c r="F96" i="2"/>
  <c r="G96" i="2" l="1"/>
  <c r="I96" i="2" s="1"/>
  <c r="C97" i="2" s="1"/>
  <c r="E97" i="2" s="1"/>
  <c r="H97" i="2" l="1"/>
  <c r="J97" i="2" s="1"/>
  <c r="F97" i="2"/>
  <c r="G97" i="2" l="1"/>
  <c r="I97" i="2" s="1"/>
  <c r="C98" i="2" s="1"/>
  <c r="E98" i="2" s="1"/>
  <c r="H98" i="2" l="1"/>
  <c r="J98" i="2" s="1"/>
  <c r="F98" i="2"/>
  <c r="G98" i="2" s="1"/>
  <c r="I98" i="2" l="1"/>
  <c r="C99" i="2" s="1"/>
  <c r="E99" i="2" s="1"/>
  <c r="H99" i="2" l="1"/>
  <c r="J99" i="2" s="1"/>
  <c r="F99" i="2"/>
  <c r="G99" i="2" l="1"/>
  <c r="I99" i="2" s="1"/>
  <c r="C100" i="2" s="1"/>
  <c r="E100" i="2" s="1"/>
  <c r="H100" i="2" l="1"/>
  <c r="J100" i="2" s="1"/>
  <c r="F100" i="2"/>
  <c r="G100" i="2" l="1"/>
  <c r="I100" i="2" s="1"/>
  <c r="C101" i="2" s="1"/>
  <c r="E101" i="2" s="1"/>
  <c r="H101" i="2" l="1"/>
  <c r="J101" i="2" s="1"/>
  <c r="F101" i="2"/>
  <c r="G101" i="2" l="1"/>
  <c r="I101" i="2" s="1"/>
  <c r="C102" i="2" s="1"/>
  <c r="E102" i="2" s="1"/>
  <c r="H102" i="2" l="1"/>
  <c r="J102" i="2" s="1"/>
  <c r="F102" i="2"/>
  <c r="G102" i="2" l="1"/>
  <c r="I102" i="2"/>
  <c r="C103" i="2" s="1"/>
  <c r="E103" i="2" s="1"/>
  <c r="H103" i="2" l="1"/>
  <c r="J103" i="2" s="1"/>
  <c r="F103" i="2"/>
  <c r="G103" i="2" l="1"/>
  <c r="I103" i="2" s="1"/>
  <c r="C104" i="2" s="1"/>
  <c r="E104" i="2" s="1"/>
  <c r="H104" i="2" l="1"/>
  <c r="J104" i="2" s="1"/>
  <c r="F104" i="2"/>
  <c r="G104" i="2" l="1"/>
  <c r="I104" i="2" s="1"/>
  <c r="C105" i="2" s="1"/>
  <c r="E105" i="2" s="1"/>
  <c r="H105" i="2" l="1"/>
  <c r="J105" i="2" s="1"/>
  <c r="F105" i="2"/>
  <c r="G105" i="2" l="1"/>
  <c r="I105" i="2" s="1"/>
  <c r="C106" i="2" s="1"/>
  <c r="E106" i="2" s="1"/>
  <c r="H106" i="2" l="1"/>
  <c r="J106" i="2" s="1"/>
  <c r="F106" i="2"/>
  <c r="G106" i="2" l="1"/>
  <c r="I106" i="2" s="1"/>
  <c r="C107" i="2" s="1"/>
  <c r="E107" i="2" s="1"/>
  <c r="H107" i="2" l="1"/>
  <c r="J107" i="2" s="1"/>
  <c r="F107" i="2"/>
  <c r="G107" i="2" l="1"/>
  <c r="I107" i="2" s="1"/>
  <c r="C108" i="2" s="1"/>
  <c r="E108" i="2" s="1"/>
  <c r="H108" i="2" l="1"/>
  <c r="J108" i="2" s="1"/>
  <c r="F108" i="2"/>
  <c r="G108" i="2" l="1"/>
  <c r="I108" i="2" s="1"/>
  <c r="C109" i="2" s="1"/>
  <c r="E109" i="2" s="1"/>
  <c r="H109" i="2" l="1"/>
  <c r="J109" i="2" s="1"/>
  <c r="F109" i="2"/>
  <c r="G109" i="2" l="1"/>
  <c r="I109" i="2" s="1"/>
  <c r="C110" i="2" s="1"/>
  <c r="E110" i="2" s="1"/>
  <c r="H110" i="2" l="1"/>
  <c r="J110" i="2" s="1"/>
  <c r="F110" i="2"/>
  <c r="G110" i="2" l="1"/>
  <c r="I110" i="2" s="1"/>
  <c r="C111" i="2" s="1"/>
  <c r="E111" i="2" s="1"/>
  <c r="H111" i="2" l="1"/>
  <c r="J111" i="2" s="1"/>
  <c r="F111" i="2"/>
  <c r="G111" i="2" l="1"/>
  <c r="I111" i="2" s="1"/>
  <c r="C112" i="2" s="1"/>
  <c r="E112" i="2" s="1"/>
  <c r="H112" i="2" l="1"/>
  <c r="J112" i="2" s="1"/>
  <c r="F112" i="2"/>
  <c r="G112" i="2" l="1"/>
  <c r="I112" i="2" s="1"/>
  <c r="C113" i="2" s="1"/>
  <c r="E113" i="2" s="1"/>
  <c r="H113" i="2" l="1"/>
  <c r="J113" i="2" s="1"/>
  <c r="F113" i="2"/>
  <c r="G113" i="2" l="1"/>
  <c r="I113" i="2" s="1"/>
  <c r="C114" i="2" s="1"/>
  <c r="E114" i="2" s="1"/>
  <c r="H114" i="2" l="1"/>
  <c r="J114" i="2" s="1"/>
  <c r="F114" i="2"/>
  <c r="G114" i="2" l="1"/>
  <c r="I114" i="2" s="1"/>
  <c r="C115" i="2" s="1"/>
  <c r="E115" i="2" s="1"/>
  <c r="H115" i="2" l="1"/>
  <c r="J115" i="2" s="1"/>
  <c r="F115" i="2"/>
  <c r="G115" i="2" l="1"/>
  <c r="I115" i="2" s="1"/>
  <c r="C116" i="2" s="1"/>
  <c r="E116" i="2" s="1"/>
  <c r="H116" i="2" l="1"/>
  <c r="J116" i="2" s="1"/>
  <c r="F116" i="2"/>
  <c r="G116" i="2" l="1"/>
  <c r="I116" i="2" s="1"/>
  <c r="C117" i="2" s="1"/>
  <c r="E117" i="2" s="1"/>
  <c r="H117" i="2" l="1"/>
  <c r="J117" i="2" s="1"/>
  <c r="F117" i="2"/>
  <c r="G117" i="2" l="1"/>
  <c r="I117" i="2" s="1"/>
  <c r="C118" i="2" s="1"/>
  <c r="E118" i="2" s="1"/>
  <c r="H118" i="2" l="1"/>
  <c r="J118" i="2" s="1"/>
  <c r="F118" i="2"/>
  <c r="G118" i="2" l="1"/>
  <c r="I118" i="2" s="1"/>
  <c r="C119" i="2" s="1"/>
  <c r="E119" i="2" s="1"/>
  <c r="H119" i="2" l="1"/>
  <c r="J119" i="2" s="1"/>
  <c r="F119" i="2"/>
  <c r="G119" i="2" l="1"/>
  <c r="I119" i="2" s="1"/>
  <c r="C120" i="2" s="1"/>
  <c r="E120" i="2" s="1"/>
  <c r="H120" i="2" l="1"/>
  <c r="J120" i="2" s="1"/>
  <c r="F120" i="2"/>
  <c r="G120" i="2" l="1"/>
  <c r="I120" i="2" s="1"/>
  <c r="C121" i="2" s="1"/>
  <c r="E121" i="2" s="1"/>
  <c r="H121" i="2" l="1"/>
  <c r="J121" i="2" s="1"/>
  <c r="F121" i="2"/>
  <c r="G121" i="2" l="1"/>
  <c r="I121" i="2" s="1"/>
  <c r="C122" i="2" s="1"/>
  <c r="E122" i="2" s="1"/>
  <c r="H122" i="2" l="1"/>
  <c r="J122" i="2" s="1"/>
  <c r="F122" i="2"/>
  <c r="G122" i="2" l="1"/>
  <c r="I122" i="2" s="1"/>
  <c r="C123" i="2" s="1"/>
  <c r="E123" i="2" s="1"/>
  <c r="H123" i="2" l="1"/>
  <c r="J123" i="2" s="1"/>
  <c r="F123" i="2"/>
  <c r="G123" i="2" l="1"/>
  <c r="I123" i="2" s="1"/>
  <c r="C124" i="2" s="1"/>
  <c r="E124" i="2" s="1"/>
  <c r="H124" i="2" l="1"/>
  <c r="J124" i="2" s="1"/>
  <c r="F124" i="2"/>
  <c r="G124" i="2" l="1"/>
  <c r="I124" i="2" s="1"/>
  <c r="C125" i="2" s="1"/>
  <c r="E125" i="2" s="1"/>
  <c r="H125" i="2" l="1"/>
  <c r="J125" i="2" s="1"/>
  <c r="F125" i="2"/>
  <c r="G125" i="2" l="1"/>
  <c r="I125" i="2" s="1"/>
  <c r="C126" i="2" s="1"/>
  <c r="E126" i="2" s="1"/>
  <c r="H126" i="2" l="1"/>
  <c r="J126" i="2" s="1"/>
  <c r="F126" i="2"/>
  <c r="G126" i="2" l="1"/>
  <c r="I126" i="2" s="1"/>
  <c r="C127" i="2" s="1"/>
  <c r="E127" i="2" s="1"/>
  <c r="H127" i="2" l="1"/>
  <c r="J127" i="2" s="1"/>
  <c r="F127" i="2"/>
  <c r="G127" i="2" l="1"/>
  <c r="I127" i="2" s="1"/>
  <c r="C128" i="2" s="1"/>
  <c r="E128" i="2" s="1"/>
  <c r="H128" i="2" l="1"/>
  <c r="J128" i="2" s="1"/>
  <c r="F128" i="2"/>
  <c r="G128" i="2" l="1"/>
  <c r="I128" i="2" s="1"/>
  <c r="C129" i="2" s="1"/>
  <c r="E129" i="2" s="1"/>
  <c r="H129" i="2" l="1"/>
  <c r="J129" i="2" s="1"/>
  <c r="F129" i="2"/>
  <c r="G129" i="2" l="1"/>
  <c r="I129" i="2" s="1"/>
  <c r="C130" i="2" s="1"/>
  <c r="E130" i="2" s="1"/>
  <c r="H130" i="2" l="1"/>
  <c r="J130" i="2" s="1"/>
  <c r="F130" i="2"/>
  <c r="G130" i="2" l="1"/>
  <c r="I130" i="2" s="1"/>
  <c r="C131" i="2" s="1"/>
  <c r="E131" i="2" s="1"/>
  <c r="H131" i="2" l="1"/>
  <c r="J131" i="2" s="1"/>
  <c r="F131" i="2"/>
  <c r="G131" i="2" l="1"/>
  <c r="I131" i="2" s="1"/>
  <c r="C132" i="2" s="1"/>
  <c r="E132" i="2" s="1"/>
  <c r="H132" i="2" l="1"/>
  <c r="J132" i="2" s="1"/>
  <c r="F132" i="2"/>
  <c r="G132" i="2" l="1"/>
  <c r="I132" i="2" s="1"/>
  <c r="C133" i="2" s="1"/>
  <c r="E133" i="2" s="1"/>
  <c r="H133" i="2" l="1"/>
  <c r="J133" i="2" s="1"/>
  <c r="F133" i="2"/>
  <c r="G133" i="2" l="1"/>
  <c r="I133" i="2" s="1"/>
  <c r="C134" i="2" s="1"/>
  <c r="E134" i="2" s="1"/>
  <c r="H134" i="2" l="1"/>
  <c r="J134" i="2" s="1"/>
  <c r="F134" i="2"/>
  <c r="G134" i="2" l="1"/>
  <c r="I134" i="2" s="1"/>
  <c r="C135" i="2" s="1"/>
  <c r="E135" i="2" s="1"/>
  <c r="H135" i="2" l="1"/>
  <c r="J135" i="2" s="1"/>
  <c r="F135" i="2"/>
  <c r="G135" i="2" l="1"/>
  <c r="I135" i="2" l="1"/>
  <c r="H12" i="2" l="1"/>
  <c r="H11" i="2"/>
  <c r="H9" i="2" l="1"/>
  <c r="H10" i="2" s="1"/>
</calcChain>
</file>

<file path=xl/sharedStrings.xml><?xml version="1.0" encoding="utf-8"?>
<sst xmlns="http://schemas.openxmlformats.org/spreadsheetml/2006/main" count="27" uniqueCount="27">
  <si>
    <t>Loan amount</t>
  </si>
  <si>
    <t>Optional extra payments</t>
  </si>
  <si>
    <t>Scheduled payment</t>
  </si>
  <si>
    <t>Actual number of payments</t>
  </si>
  <si>
    <t>Total early payments</t>
  </si>
  <si>
    <t>Total interest</t>
  </si>
  <si>
    <t>ENTER VALUES</t>
  </si>
  <si>
    <t>LOAN SUMMARY</t>
  </si>
  <si>
    <t>LENDER NAME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</si>
  <si>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</si>
  <si>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</si>
  <si>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</si>
  <si>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</si>
  <si>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</si>
  <si>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</si>
  <si>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</si>
  <si>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</si>
  <si>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</si>
  <si>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</si>
  <si>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MORTGAGE AMORTIZATION SCHEDULE</t>
  </si>
  <si>
    <t>Interest rate</t>
  </si>
  <si>
    <t>Payments made per year</t>
  </si>
  <si>
    <t>Loan term in years</t>
  </si>
  <si>
    <t>Years saved off original loan term</t>
  </si>
  <si>
    <t>Loan repayment start date</t>
  </si>
  <si>
    <t>BORROWER NAME</t>
  </si>
  <si>
    <t>Scheduled payments before extra pmts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</si>
</sst>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12" x14ac:knownFonts="1">
    <font>
      <sz val="11"/>
      <name val="Arial"/>
      <family val="2"/>
      <scheme val="minor"/>
    </font>
    <font>
      <b/>
      <sz val="16"/>
      <color theme="1" tint="0.24994659260841701"/>
      <name val="Microsoft Sans Serif"/>
      <family val="2"/>
      <scheme val="major"/>
    </font>
    <font>
      <b/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Microsoft Sans Serif"/>
      <family val="2"/>
      <scheme val="major"/>
    </font>
    <font>
      <i/>
      <sz val="11"/>
      <color theme="1" tint="0.34998626667073579"/>
      <name val="Arial"/>
      <family val="2"/>
      <scheme val="minor"/>
    </font>
    <font>
      <sz val="1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2"/>
      <color rgb="FF000064"/>
      <name val="Arial"/>
      <family val="2"/>
      <scheme val="minor"/>
    </font>
    <font>
      <sz val="12"/>
      <name val="Times New Roman"/>
      <family val="1"/>
    </font>
    <font>
      <b/>
      <sz val="11"/>
      <color theme="1" tint="0.24994659260841701"/>
      <name val="Arial"/>
      <family val="2"/>
      <scheme val="minor"/>
    </font>
    <font>
      <b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0394C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rgb="FF00B0F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ck">
        <color rgb="FF155776"/>
      </bottom>
      <diagonal/>
    </border>
    <border>
      <left/>
      <right/>
      <top style="thin">
        <color rgb="FF00B0F0"/>
      </top>
      <bottom style="thin">
        <color rgb="FF00B0F0"/>
      </bottom>
      <diagonal/>
    </border>
  </borders>
  <cellStyleXfs count="15">
    <xf numFmtId="0" fontId="0" fillId="0" borderId="0"/>
    <xf numFmtId="0" fontId="1" fillId="0" borderId="4" applyNumberFormat="0" applyFill="0" applyProtection="0">
      <alignment vertical="center"/>
    </xf>
    <xf numFmtId="0" fontId="4" fillId="0" borderId="2" applyNumberFormat="0" applyFill="0" applyProtection="0">
      <alignment vertical="center"/>
    </xf>
    <xf numFmtId="0" fontId="2" fillId="0" borderId="5" applyNumberFormat="0" applyFill="0" applyProtection="0">
      <alignment vertical="center"/>
    </xf>
    <xf numFmtId="0" fontId="3" fillId="2" borderId="1" applyNumberFormat="0" applyProtection="0">
      <alignment horizontal="right"/>
    </xf>
    <xf numFmtId="0" fontId="5" fillId="0" borderId="1" applyNumberFormat="0" applyProtection="0">
      <alignment vertical="center"/>
    </xf>
    <xf numFmtId="10" fontId="6" fillId="0" borderId="0" applyFont="0" applyFill="0" applyBorder="0" applyAlignment="0" applyProtection="0"/>
    <xf numFmtId="164" fontId="3" fillId="2" borderId="0" applyFont="0" applyFill="0" applyBorder="0" applyAlignment="0" applyProtection="0"/>
    <xf numFmtId="0" fontId="3" fillId="6" borderId="0" applyNumberFormat="0" applyFont="0" applyAlignment="0">
      <alignment horizontal="center" vertical="center" wrapText="1"/>
    </xf>
    <xf numFmtId="0" fontId="7" fillId="5" borderId="0" applyNumberFormat="0" applyBorder="0" applyProtection="0">
      <alignment vertical="center" wrapText="1"/>
    </xf>
    <xf numFmtId="1" fontId="3" fillId="3" borderId="0" applyFont="0" applyFill="0" applyBorder="0" applyAlignment="0"/>
    <xf numFmtId="14" fontId="3" fillId="0" borderId="0" applyFont="0" applyFill="0" applyBorder="0" applyAlignment="0"/>
    <xf numFmtId="164" fontId="3" fillId="2" borderId="0" applyFont="0" applyFill="0" applyBorder="0" applyProtection="0">
      <alignment horizontal="right" indent="2"/>
    </xf>
    <xf numFmtId="0" fontId="7" fillId="4" borderId="0" applyBorder="0" applyProtection="0">
      <alignment horizontal="right" vertical="center" wrapText="1" indent="2"/>
    </xf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4" xfId="1">
      <alignment vertical="center"/>
    </xf>
    <xf numFmtId="0" fontId="4" fillId="0" borderId="2" xfId="2">
      <alignment vertical="center"/>
    </xf>
    <xf numFmtId="0" fontId="2" fillId="0" borderId="5" xfId="3">
      <alignment vertical="center"/>
    </xf>
    <xf numFmtId="1" fontId="0" fillId="0" borderId="0" xfId="10" applyFont="1" applyFill="1" applyBorder="1" applyAlignment="1">
      <alignment horizontal="left"/>
    </xf>
    <xf numFmtId="14" fontId="0" fillId="0" borderId="0" xfId="11" applyFont="1" applyFill="1" applyBorder="1" applyAlignment="1">
      <alignment horizontal="left"/>
    </xf>
    <xf numFmtId="0" fontId="7" fillId="5" borderId="0" xfId="9">
      <alignment vertical="center" wrapText="1"/>
    </xf>
    <xf numFmtId="164" fontId="0" fillId="0" borderId="0" xfId="12" applyFont="1" applyFill="1" applyBorder="1">
      <alignment horizontal="right" indent="2"/>
    </xf>
    <xf numFmtId="0" fontId="5" fillId="0" borderId="1" xfId="5">
      <alignment vertical="center"/>
    </xf>
    <xf numFmtId="1" fontId="0" fillId="6" borderId="0" xfId="10" applyFont="1" applyFill="1" applyBorder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  <xf numFmtId="2" fontId="9" fillId="0" borderId="0" xfId="0" applyNumberFormat="1" applyFont="1"/>
    <xf numFmtId="164" fontId="10" fillId="2" borderId="0" xfId="7" applyFont="1"/>
    <xf numFmtId="10" fontId="10" fillId="2" borderId="1" xfId="6" applyFont="1" applyFill="1" applyBorder="1" applyAlignment="1">
      <alignment horizontal="right"/>
    </xf>
    <xf numFmtId="2" fontId="10" fillId="2" borderId="0" xfId="10" applyNumberFormat="1" applyFont="1" applyFill="1"/>
    <xf numFmtId="1" fontId="10" fillId="2" borderId="1" xfId="10" applyFont="1" applyFill="1" applyBorder="1"/>
    <xf numFmtId="14" fontId="10" fillId="0" borderId="1" xfId="11" applyFont="1" applyFill="1" applyBorder="1"/>
    <xf numFmtId="0" fontId="11" fillId="0" borderId="0" xfId="0" applyFont="1"/>
    <xf numFmtId="164" fontId="10" fillId="2" borderId="1" xfId="7" applyFont="1" applyFill="1" applyBorder="1"/>
    <xf numFmtId="164" fontId="10" fillId="6" borderId="0" xfId="8" applyNumberFormat="1" applyFont="1" applyAlignment="1"/>
    <xf numFmtId="1" fontId="10" fillId="6" borderId="1" xfId="10" applyFont="1" applyFill="1" applyBorder="1" applyAlignment="1"/>
    <xf numFmtId="4" fontId="10" fillId="6" borderId="1" xfId="8" applyNumberFormat="1" applyFont="1" applyBorder="1" applyAlignment="1"/>
    <xf numFmtId="164" fontId="10" fillId="6" borderId="1" xfId="8" applyNumberFormat="1" applyFont="1" applyBorder="1" applyAlignment="1"/>
    <xf numFmtId="14" fontId="11" fillId="0" borderId="0" xfId="11" applyFont="1" applyFill="1" applyBorder="1" applyAlignment="1">
      <alignment horizontal="left"/>
    </xf>
    <xf numFmtId="164" fontId="11" fillId="0" borderId="0" xfId="12" applyFont="1" applyFill="1" applyBorder="1">
      <alignment horizontal="right" indent="2"/>
    </xf>
    <xf numFmtId="14" fontId="11" fillId="6" borderId="0" xfId="11" applyFont="1" applyFill="1" applyBorder="1" applyAlignment="1">
      <alignment horizontal="left"/>
    </xf>
    <xf numFmtId="164" fontId="11" fillId="6" borderId="0" xfId="12" applyFont="1" applyFill="1" applyBorder="1">
      <alignment horizontal="right" indent="2"/>
    </xf>
    <xf numFmtId="0" fontId="3" fillId="2" borderId="1" xfId="4">
      <alignment horizontal="right"/>
    </xf>
    <xf numFmtId="0" fontId="5" fillId="0" borderId="1" xfId="5">
      <alignment vertical="center"/>
    </xf>
    <xf numFmtId="0" fontId="5" fillId="0" borderId="3" xfId="5" applyBorder="1">
      <alignment vertical="center"/>
    </xf>
  </cellXfs>
  <cellStyles count="15">
    <cellStyle name="Amount" xfId="7" xr:uid="{00000000-0005-0000-0000-000000000000}"/>
    <cellStyle name="Date" xfId="11" xr:uid="{00000000-0005-0000-0000-000001000000}"/>
    <cellStyle name="Explanatory Text" xfId="5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9" builtinId="19" customBuiltin="1"/>
    <cellStyle name="Heading 4 Right aligned" xfId="13" xr:uid="{00000000-0005-0000-0000-000007000000}"/>
    <cellStyle name="Hyperlink" xfId="14" builtinId="8" customBuiltin="1"/>
    <cellStyle name="Input" xfId="4" builtinId="20" customBuiltin="1"/>
    <cellStyle name="Loan Summary" xfId="8" xr:uid="{00000000-0005-0000-0000-000009000000}"/>
    <cellStyle name="Normal" xfId="0" builtinId="0" customBuiltin="1"/>
    <cellStyle name="Number" xfId="10" xr:uid="{00000000-0005-0000-0000-00000B000000}"/>
    <cellStyle name="Percent" xfId="6" builtinId="5" customBuiltin="1"/>
    <cellStyle name="Table Amount" xfId="12" xr:uid="{00000000-0005-0000-0000-00000D000000}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55776"/>
      <color rgb="FF003399"/>
      <color rgb="FF20394C"/>
      <color rgb="FF000064"/>
      <color rgb="FF1557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ymentSchedule" displayName="PaymentSchedule" ref="A15:J178" totalsRowShown="0" headerRowCellStyle="Heading 4">
  <tableColumns count="10">
    <tableColumn id="1" xr3:uid="{00000000-0010-0000-0000-000001000000}" name="PMT NO" dataCellStyle="Number">
      <calculatedColumnFormula>IF(LoanIsGood,IF(ROW()-ROW(PaymentSchedule[[#Headers],[PMT NO]])&gt;ScheduledNumberOfPayments,"",ROW()-ROW(PaymentSchedule[[#Headers],[PMT NO]])),"")</calculatedColumnFormula>
    </tableColumn>
    <tableColumn id="2" xr3:uid="{00000000-0010-0000-0000-000002000000}" name="PAYMENT DATE" dataCellStyle="Date">
      <calculatedColumnFormula>IF(PaymentSchedule[[#This Row],[PMT NO]]&lt;&gt;"",EOMONTH(LoanStartDate,ROW(PaymentSchedule[[#This Row],[PMT NO]])-ROW(PaymentSchedule[[#Headers],[PMT NO]])-2)+DAY(LoanStartDate),"")</calculatedColumnFormula>
    </tableColumn>
    <tableColumn id="3" xr3:uid="{00000000-0010-0000-0000-000003000000}" name="BEGINNING BALANCE" dataCellStyle="Table Amount">
      <calculatedColumnFormula>IF(PaymentSchedule[[#This Row],[PMT NO]]&lt;&gt;"",IF(ROW()-ROW(PaymentSchedule[[#Headers],[BEGINNING BALANCE]])=1,LoanAmount,INDEX(PaymentSchedule[ENDING BALANCE],ROW()-ROW(PaymentSchedule[[#Headers],[BEGINNING BALANCE]])-1)),"")</calculatedColumnFormula>
    </tableColumn>
    <tableColumn id="4" xr3:uid="{00000000-0010-0000-0000-000004000000}" name="SCHEDULED PAYMENT" dataCellStyle="Table Amount">
      <calculatedColumnFormula>IF(PaymentSchedule[[#This Row],[PMT NO]]&lt;&gt;"",ScheduledPayment,"")</calculatedColumnFormula>
    </tableColumn>
    <tableColumn id="5" xr3:uid="{00000000-0010-0000-0000-000005000000}" name="EXTRA PAYMENT" dataCellStyle="Table Amount">
      <calculatedColumnFormula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calculatedColumnFormula>
    </tableColumn>
    <tableColumn id="6" xr3:uid="{00000000-0010-0000-0000-000006000000}" name="TOTAL PAYMENT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calculatedColumnFormula>
    </tableColumn>
    <tableColumn id="7" xr3:uid="{00000000-0010-0000-0000-000007000000}" name="PRINCIPAL" dataCellStyle="Table Amount">
      <calculatedColumnFormula>IF(PaymentSchedule[[#This Row],[PMT NO]]&lt;&gt;"",PaymentSchedule[[#This Row],[TOTAL PAYMENT]]-PaymentSchedule[[#This Row],[INTEREST]],"")</calculatedColumnFormula>
    </tableColumn>
    <tableColumn id="8" xr3:uid="{00000000-0010-0000-0000-000008000000}" name="INTEREST" dataCellStyle="Table Amount">
      <calculatedColumnFormula>IF(PaymentSchedule[[#This Row],[PMT NO]]&lt;&gt;"",PaymentSchedule[[#This Row],[BEGINNING BALANCE]]*(InterestRate/PaymentsPerYear),"")</calculatedColumnFormula>
    </tableColumn>
    <tableColumn id="9" xr3:uid="{00000000-0010-0000-0000-000009000000}" name="ENDING BALANCE" dataCellStyle="Table Amount">
      <calculatedColumnFormula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calculatedColumnFormula>
    </tableColumn>
    <tableColumn id="10" xr3:uid="{00000000-0010-0000-0000-00000A000000}" name="CUMULATIVE INTEREST" dataCellStyle="Table Amount">
      <calculatedColumnFormula>IF(PaymentSchedule[[#This Row],[PMT NO]]&lt;&gt;"",SUM(INDEX(PaymentSchedule[INTEREST],1,1):PaymentSchedule[[#This Row],[INTEREST]]),"")</calculatedColumnFormula>
    </tableColumn>
  </tableColumns>
  <tableStyleInfo name="TableStyleMedium4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scheduled payment, extra payment, principal amount, interest and cumulative interest amounts"/>
    </ext>
  </extLst>
</table>
</file>

<file path=xl/theme/theme1.xml><?xml version="1.0" encoding="utf-8"?>
<a:theme xmlns:a="http://schemas.openxmlformats.org/drawingml/2006/main" name="Office Theme">
  <a:themeElements>
    <a:clrScheme name="Loan Amortization Schedule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Loan Amortization Schedule">
      <a:majorFont>
        <a:latin typeface="Microsoft Sans Serif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2:J178"/>
  <sheetViews>
    <sheetView showGridLines="0" tabSelected="1" zoomScaleNormal="100" workbookViewId="0">
      <pane ySplit="15" topLeftCell="A16" activePane="bottomLeft" state="frozen"/>
      <selection pane="bottomLeft" activeCell="E9" sqref="E9"/>
    </sheetView>
  </sheetViews>
  <sheetFormatPr defaultColWidth="8.9140625" defaultRowHeight="14" x14ac:dyDescent="0.3"/>
  <cols>
    <col min="1" max="1" width="6.9140625" customWidth="1"/>
    <col min="2" max="2" width="15" customWidth="1"/>
    <col min="3" max="3" width="16.58203125" customWidth="1"/>
    <col min="4" max="5" width="15.58203125" customWidth="1"/>
    <col min="6" max="6" width="18.58203125" customWidth="1"/>
    <col min="7" max="9" width="15.58203125" customWidth="1"/>
    <col min="10" max="10" width="17.58203125" customWidth="1"/>
  </cols>
  <sheetData>
    <row r="2" spans="1:10" x14ac:dyDescent="0.3">
      <c r="B2" s="10"/>
      <c r="C2" s="10"/>
      <c r="D2" s="10"/>
      <c r="E2" s="10"/>
      <c r="F2" s="10"/>
      <c r="G2" s="10"/>
      <c r="H2" s="10"/>
    </row>
    <row r="3" spans="1:10" ht="15.5" x14ac:dyDescent="0.35">
      <c r="B3" s="11"/>
      <c r="C3" s="11"/>
      <c r="D3" s="11"/>
      <c r="E3" s="11"/>
      <c r="F3" s="12"/>
      <c r="G3" s="11"/>
      <c r="H3" s="11"/>
    </row>
    <row r="5" spans="1:10" ht="30" customHeight="1" thickBot="1" x14ac:dyDescent="0.35">
      <c r="A5" s="1" t="s">
        <v>19</v>
      </c>
      <c r="B5" s="1"/>
      <c r="C5" s="1"/>
      <c r="D5" s="1"/>
      <c r="E5" s="1"/>
      <c r="F5" s="1"/>
      <c r="G5" s="1"/>
      <c r="H5" s="1"/>
      <c r="I5" s="1"/>
      <c r="J5" s="1"/>
    </row>
    <row r="6" spans="1:10" ht="20.149999999999999" customHeight="1" thickTop="1" thickBot="1" x14ac:dyDescent="0.35">
      <c r="B6" s="2" t="s">
        <v>6</v>
      </c>
      <c r="C6" s="2"/>
      <c r="D6" s="2"/>
      <c r="F6" s="2" t="s">
        <v>7</v>
      </c>
      <c r="G6" s="2"/>
      <c r="H6" s="2"/>
    </row>
    <row r="7" spans="1:10" ht="14.25" customHeight="1" x14ac:dyDescent="0.3">
      <c r="B7" s="30" t="s">
        <v>0</v>
      </c>
      <c r="C7" s="30"/>
      <c r="D7" s="13">
        <v>10000</v>
      </c>
      <c r="F7" s="30" t="s">
        <v>2</v>
      </c>
      <c r="G7" s="30"/>
      <c r="H7" s="20">
        <f>IF(LoanIsGood,-PMT(InterestRate/PaymentsPerYear,ScheduledNumberOfPayments,LoanAmount),"")</f>
        <v>96.560744698389513</v>
      </c>
    </row>
    <row r="8" spans="1:10" ht="14.5" x14ac:dyDescent="0.3">
      <c r="B8" s="8" t="s">
        <v>20</v>
      </c>
      <c r="D8" s="14">
        <v>0.03</v>
      </c>
      <c r="F8" s="29" t="s">
        <v>26</v>
      </c>
      <c r="G8" s="29"/>
      <c r="H8" s="21">
        <f>IF(LoanIsGood,LoanPeriod*PaymentsPerYear,"")</f>
        <v>120</v>
      </c>
    </row>
    <row r="9" spans="1:10" ht="14.5" x14ac:dyDescent="0.3">
      <c r="B9" s="29" t="s">
        <v>22</v>
      </c>
      <c r="C9" s="29"/>
      <c r="D9" s="15">
        <v>10</v>
      </c>
      <c r="F9" s="29" t="s">
        <v>3</v>
      </c>
      <c r="G9" s="29"/>
      <c r="H9" s="21">
        <f>ActualNumberOfPayments</f>
        <v>120</v>
      </c>
      <c r="J9" s="11"/>
    </row>
    <row r="10" spans="1:10" ht="14.5" x14ac:dyDescent="0.3">
      <c r="B10" s="29" t="s">
        <v>21</v>
      </c>
      <c r="C10" s="29"/>
      <c r="D10" s="16">
        <v>12</v>
      </c>
      <c r="F10" s="29" t="s">
        <v>23</v>
      </c>
      <c r="G10" s="29"/>
      <c r="H10" s="22">
        <f>(H8-H9)/D10</f>
        <v>0</v>
      </c>
      <c r="J10" s="11"/>
    </row>
    <row r="11" spans="1:10" ht="14.5" x14ac:dyDescent="0.3">
      <c r="B11" s="29" t="s">
        <v>24</v>
      </c>
      <c r="C11" s="29"/>
      <c r="D11" s="17">
        <v>45092</v>
      </c>
      <c r="F11" s="29" t="s">
        <v>4</v>
      </c>
      <c r="G11" s="29"/>
      <c r="H11" s="23">
        <f>TotalEarlyPayments</f>
        <v>0</v>
      </c>
      <c r="J11" s="11"/>
    </row>
    <row r="12" spans="1:10" ht="14.5" x14ac:dyDescent="0.3">
      <c r="D12" s="18"/>
      <c r="F12" s="29" t="s">
        <v>5</v>
      </c>
      <c r="G12" s="29"/>
      <c r="H12" s="23">
        <f>TotalInterest</f>
        <v>1587.2893638067424</v>
      </c>
      <c r="J12" s="11"/>
    </row>
    <row r="13" spans="1:10" ht="14.5" x14ac:dyDescent="0.3">
      <c r="B13" s="29" t="s">
        <v>1</v>
      </c>
      <c r="C13" s="29"/>
      <c r="D13" s="19">
        <v>0</v>
      </c>
      <c r="F13" s="3" t="s">
        <v>8</v>
      </c>
      <c r="G13" s="28"/>
      <c r="H13" s="28"/>
    </row>
    <row r="14" spans="1:10" x14ac:dyDescent="0.3">
      <c r="F14" s="3" t="s">
        <v>25</v>
      </c>
      <c r="G14" s="28"/>
      <c r="H14" s="28"/>
    </row>
    <row r="15" spans="1:10" ht="35.15" customHeight="1" x14ac:dyDescent="0.3">
      <c r="A15" s="6" t="s">
        <v>9</v>
      </c>
      <c r="B15" s="6" t="s">
        <v>10</v>
      </c>
      <c r="C15" s="6" t="s">
        <v>11</v>
      </c>
      <c r="D15" s="6" t="s">
        <v>12</v>
      </c>
      <c r="E15" s="6" t="s">
        <v>13</v>
      </c>
      <c r="F15" s="6" t="s">
        <v>14</v>
      </c>
      <c r="G15" s="6" t="s">
        <v>15</v>
      </c>
      <c r="H15" s="6" t="s">
        <v>16</v>
      </c>
      <c r="I15" s="6" t="s">
        <v>17</v>
      </c>
      <c r="J15" s="6" t="s">
        <v>18</v>
      </c>
    </row>
    <row r="16" spans="1:10" x14ac:dyDescent="0.3">
      <c r="A16" s="9">
        <f>IF(LoanIsGood,IF(ROW()-ROW(PaymentSchedule[[#Headers],[PMT NO]])&gt;ScheduledNumberOfPayments,"",ROW()-ROW(PaymentSchedule[[#Headers],[PMT NO]])),"")</f>
        <v>1</v>
      </c>
      <c r="B16" s="24">
        <f>IF(PaymentSchedule[[#This Row],[PMT NO]]&lt;&gt;"",EOMONTH(LoanStartDate,ROW(PaymentSchedule[[#This Row],[PMT NO]])-ROW(PaymentSchedule[[#Headers],[PMT NO]])-2)+DAY(LoanStartDate),"")</f>
        <v>45092</v>
      </c>
      <c r="C16" s="25">
        <f>IF(PaymentSchedule[[#This Row],[PMT NO]]&lt;&gt;"",IF(ROW()-ROW(PaymentSchedule[[#Headers],[BEGINNING BALANCE]])=1,LoanAmount,INDEX(PaymentSchedule[ENDING BALANCE],ROW()-ROW(PaymentSchedule[[#Headers],[BEGINNING BALANCE]])-1)),"")</f>
        <v>10000</v>
      </c>
      <c r="D16" s="25">
        <f>IF(PaymentSchedule[[#This Row],[PMT NO]]&lt;&gt;"",ScheduledPayment,"")</f>
        <v>96.560744698389513</v>
      </c>
      <c r="E1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6" s="25">
        <f>IF(PaymentSchedule[[#This Row],[PMT NO]]&lt;&gt;"",PaymentSchedule[[#This Row],[TOTAL PAYMENT]]-PaymentSchedule[[#This Row],[INTEREST]],"")</f>
        <v>71.560744698389513</v>
      </c>
      <c r="H16" s="25">
        <f>IF(PaymentSchedule[[#This Row],[PMT NO]]&lt;&gt;"",PaymentSchedule[[#This Row],[BEGINNING BALANCE]]*(InterestRate/PaymentsPerYear),"")</f>
        <v>25</v>
      </c>
      <c r="I1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9928.4392553016096</v>
      </c>
      <c r="J16" s="25">
        <f>IF(PaymentSchedule[[#This Row],[PMT NO]]&lt;&gt;"",SUM(INDEX(PaymentSchedule[INTEREST],1,1):PaymentSchedule[[#This Row],[INTEREST]]),"")</f>
        <v>25</v>
      </c>
    </row>
    <row r="17" spans="1:10" x14ac:dyDescent="0.3">
      <c r="A17" s="4">
        <f>IF(LoanIsGood,IF(ROW()-ROW(PaymentSchedule[[#Headers],[PMT NO]])&gt;ScheduledNumberOfPayments,"",ROW()-ROW(PaymentSchedule[[#Headers],[PMT NO]])),"")</f>
        <v>2</v>
      </c>
      <c r="B17" s="24">
        <f>IF(PaymentSchedule[[#This Row],[PMT NO]]&lt;&gt;"",EOMONTH(LoanStartDate,ROW(PaymentSchedule[[#This Row],[PMT NO]])-ROW(PaymentSchedule[[#Headers],[PMT NO]])-2)+DAY(LoanStartDate),"")</f>
        <v>45122</v>
      </c>
      <c r="C17" s="25">
        <f>IF(PaymentSchedule[[#This Row],[PMT NO]]&lt;&gt;"",IF(ROW()-ROW(PaymentSchedule[[#Headers],[BEGINNING BALANCE]])=1,LoanAmount,INDEX(PaymentSchedule[ENDING BALANCE],ROW()-ROW(PaymentSchedule[[#Headers],[BEGINNING BALANCE]])-1)),"")</f>
        <v>9928.4392553016096</v>
      </c>
      <c r="D17" s="25">
        <f>IF(PaymentSchedule[[#This Row],[PMT NO]]&lt;&gt;"",ScheduledPayment,"")</f>
        <v>96.560744698389513</v>
      </c>
      <c r="E1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7" s="25">
        <f>IF(PaymentSchedule[[#This Row],[PMT NO]]&lt;&gt;"",PaymentSchedule[[#This Row],[TOTAL PAYMENT]]-PaymentSchedule[[#This Row],[INTEREST]],"")</f>
        <v>71.739646560135483</v>
      </c>
      <c r="H17" s="25">
        <f>IF(PaymentSchedule[[#This Row],[PMT NO]]&lt;&gt;"",PaymentSchedule[[#This Row],[BEGINNING BALANCE]]*(InterestRate/PaymentsPerYear),"")</f>
        <v>24.821098138254026</v>
      </c>
      <c r="I1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9856.6996087414736</v>
      </c>
      <c r="J17" s="25">
        <f>IF(PaymentSchedule[[#This Row],[PMT NO]]&lt;&gt;"",SUM(INDEX(PaymentSchedule[INTEREST],1,1):PaymentSchedule[[#This Row],[INTEREST]]),"")</f>
        <v>49.82109813825403</v>
      </c>
    </row>
    <row r="18" spans="1:10" x14ac:dyDescent="0.3">
      <c r="A18" s="4">
        <f>IF(LoanIsGood,IF(ROW()-ROW(PaymentSchedule[[#Headers],[PMT NO]])&gt;ScheduledNumberOfPayments,"",ROW()-ROW(PaymentSchedule[[#Headers],[PMT NO]])),"")</f>
        <v>3</v>
      </c>
      <c r="B18" s="24">
        <f>IF(PaymentSchedule[[#This Row],[PMT NO]]&lt;&gt;"",EOMONTH(LoanStartDate,ROW(PaymentSchedule[[#This Row],[PMT NO]])-ROW(PaymentSchedule[[#Headers],[PMT NO]])-2)+DAY(LoanStartDate),"")</f>
        <v>45153</v>
      </c>
      <c r="C18" s="25">
        <f>IF(PaymentSchedule[[#This Row],[PMT NO]]&lt;&gt;"",IF(ROW()-ROW(PaymentSchedule[[#Headers],[BEGINNING BALANCE]])=1,LoanAmount,INDEX(PaymentSchedule[ENDING BALANCE],ROW()-ROW(PaymentSchedule[[#Headers],[BEGINNING BALANCE]])-1)),"")</f>
        <v>9856.6996087414736</v>
      </c>
      <c r="D18" s="25">
        <f>IF(PaymentSchedule[[#This Row],[PMT NO]]&lt;&gt;"",ScheduledPayment,"")</f>
        <v>96.560744698389513</v>
      </c>
      <c r="E1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8" s="25">
        <f>IF(PaymentSchedule[[#This Row],[PMT NO]]&lt;&gt;"",PaymentSchedule[[#This Row],[TOTAL PAYMENT]]-PaymentSchedule[[#This Row],[INTEREST]],"")</f>
        <v>71.918995676535829</v>
      </c>
      <c r="H18" s="25">
        <f>IF(PaymentSchedule[[#This Row],[PMT NO]]&lt;&gt;"",PaymentSchedule[[#This Row],[BEGINNING BALANCE]]*(InterestRate/PaymentsPerYear),"")</f>
        <v>24.641749021853684</v>
      </c>
      <c r="I1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9784.7806130649369</v>
      </c>
      <c r="J18" s="25">
        <f>IF(PaymentSchedule[[#This Row],[PMT NO]]&lt;&gt;"",SUM(INDEX(PaymentSchedule[INTEREST],1,1):PaymentSchedule[[#This Row],[INTEREST]]),"")</f>
        <v>74.462847160107714</v>
      </c>
    </row>
    <row r="19" spans="1:10" x14ac:dyDescent="0.3">
      <c r="A19" s="4">
        <f>IF(LoanIsGood,IF(ROW()-ROW(PaymentSchedule[[#Headers],[PMT NO]])&gt;ScheduledNumberOfPayments,"",ROW()-ROW(PaymentSchedule[[#Headers],[PMT NO]])),"")</f>
        <v>4</v>
      </c>
      <c r="B19" s="24">
        <f>IF(PaymentSchedule[[#This Row],[PMT NO]]&lt;&gt;"",EOMONTH(LoanStartDate,ROW(PaymentSchedule[[#This Row],[PMT NO]])-ROW(PaymentSchedule[[#Headers],[PMT NO]])-2)+DAY(LoanStartDate),"")</f>
        <v>45184</v>
      </c>
      <c r="C19" s="25">
        <f>IF(PaymentSchedule[[#This Row],[PMT NO]]&lt;&gt;"",IF(ROW()-ROW(PaymentSchedule[[#Headers],[BEGINNING BALANCE]])=1,LoanAmount,INDEX(PaymentSchedule[ENDING BALANCE],ROW()-ROW(PaymentSchedule[[#Headers],[BEGINNING BALANCE]])-1)),"")</f>
        <v>9784.7806130649369</v>
      </c>
      <c r="D19" s="25">
        <f>IF(PaymentSchedule[[#This Row],[PMT NO]]&lt;&gt;"",ScheduledPayment,"")</f>
        <v>96.560744698389513</v>
      </c>
      <c r="E1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9" s="25">
        <f>IF(PaymentSchedule[[#This Row],[PMT NO]]&lt;&gt;"",PaymentSchedule[[#This Row],[TOTAL PAYMENT]]-PaymentSchedule[[#This Row],[INTEREST]],"")</f>
        <v>72.098793165727173</v>
      </c>
      <c r="H19" s="25">
        <f>IF(PaymentSchedule[[#This Row],[PMT NO]]&lt;&gt;"",PaymentSchedule[[#This Row],[BEGINNING BALANCE]]*(InterestRate/PaymentsPerYear),"")</f>
        <v>24.461951532662344</v>
      </c>
      <c r="I1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9712.6818198992096</v>
      </c>
      <c r="J19" s="25">
        <f>IF(PaymentSchedule[[#This Row],[PMT NO]]&lt;&gt;"",SUM(INDEX(PaymentSchedule[INTEREST],1,1):PaymentSchedule[[#This Row],[INTEREST]]),"")</f>
        <v>98.924798692770054</v>
      </c>
    </row>
    <row r="20" spans="1:10" x14ac:dyDescent="0.3">
      <c r="A20" s="4">
        <f>IF(LoanIsGood,IF(ROW()-ROW(PaymentSchedule[[#Headers],[PMT NO]])&gt;ScheduledNumberOfPayments,"",ROW()-ROW(PaymentSchedule[[#Headers],[PMT NO]])),"")</f>
        <v>5</v>
      </c>
      <c r="B20" s="24">
        <f>IF(PaymentSchedule[[#This Row],[PMT NO]]&lt;&gt;"",EOMONTH(LoanStartDate,ROW(PaymentSchedule[[#This Row],[PMT NO]])-ROW(PaymentSchedule[[#Headers],[PMT NO]])-2)+DAY(LoanStartDate),"")</f>
        <v>45214</v>
      </c>
      <c r="C20" s="25">
        <f>IF(PaymentSchedule[[#This Row],[PMT NO]]&lt;&gt;"",IF(ROW()-ROW(PaymentSchedule[[#Headers],[BEGINNING BALANCE]])=1,LoanAmount,INDEX(PaymentSchedule[ENDING BALANCE],ROW()-ROW(PaymentSchedule[[#Headers],[BEGINNING BALANCE]])-1)),"")</f>
        <v>9712.6818198992096</v>
      </c>
      <c r="D20" s="25">
        <f>IF(PaymentSchedule[[#This Row],[PMT NO]]&lt;&gt;"",ScheduledPayment,"")</f>
        <v>96.560744698389513</v>
      </c>
      <c r="E2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0" s="25">
        <f>IF(PaymentSchedule[[#This Row],[PMT NO]]&lt;&gt;"",PaymentSchedule[[#This Row],[TOTAL PAYMENT]]-PaymentSchedule[[#This Row],[INTEREST]],"")</f>
        <v>72.279040148641485</v>
      </c>
      <c r="H20" s="25">
        <f>IF(PaymentSchedule[[#This Row],[PMT NO]]&lt;&gt;"",PaymentSchedule[[#This Row],[BEGINNING BALANCE]]*(InterestRate/PaymentsPerYear),"")</f>
        <v>24.281704549748024</v>
      </c>
      <c r="I2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9640.4027797505678</v>
      </c>
      <c r="J20" s="25">
        <f>IF(PaymentSchedule[[#This Row],[PMT NO]]&lt;&gt;"",SUM(INDEX(PaymentSchedule[INTEREST],1,1):PaymentSchedule[[#This Row],[INTEREST]]),"")</f>
        <v>123.20650324251808</v>
      </c>
    </row>
    <row r="21" spans="1:10" x14ac:dyDescent="0.3">
      <c r="A21" s="4">
        <f>IF(LoanIsGood,IF(ROW()-ROW(PaymentSchedule[[#Headers],[PMT NO]])&gt;ScheduledNumberOfPayments,"",ROW()-ROW(PaymentSchedule[[#Headers],[PMT NO]])),"")</f>
        <v>6</v>
      </c>
      <c r="B21" s="24">
        <f>IF(PaymentSchedule[[#This Row],[PMT NO]]&lt;&gt;"",EOMONTH(LoanStartDate,ROW(PaymentSchedule[[#This Row],[PMT NO]])-ROW(PaymentSchedule[[#Headers],[PMT NO]])-2)+DAY(LoanStartDate),"")</f>
        <v>45245</v>
      </c>
      <c r="C21" s="25">
        <f>IF(PaymentSchedule[[#This Row],[PMT NO]]&lt;&gt;"",IF(ROW()-ROW(PaymentSchedule[[#Headers],[BEGINNING BALANCE]])=1,LoanAmount,INDEX(PaymentSchedule[ENDING BALANCE],ROW()-ROW(PaymentSchedule[[#Headers],[BEGINNING BALANCE]])-1)),"")</f>
        <v>9640.4027797505678</v>
      </c>
      <c r="D21" s="25">
        <f>IF(PaymentSchedule[[#This Row],[PMT NO]]&lt;&gt;"",ScheduledPayment,"")</f>
        <v>96.560744698389513</v>
      </c>
      <c r="E21" s="25">
        <v>0</v>
      </c>
      <c r="F2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1" s="25">
        <f>IF(PaymentSchedule[[#This Row],[PMT NO]]&lt;&gt;"",PaymentSchedule[[#This Row],[TOTAL PAYMENT]]-PaymentSchedule[[#This Row],[INTEREST]],"")</f>
        <v>72.459737749013101</v>
      </c>
      <c r="H21" s="25">
        <f>IF(PaymentSchedule[[#This Row],[PMT NO]]&lt;&gt;"",PaymentSchedule[[#This Row],[BEGINNING BALANCE]]*(InterestRate/PaymentsPerYear),"")</f>
        <v>24.101006949376419</v>
      </c>
      <c r="I2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9567.9430420015542</v>
      </c>
      <c r="J21" s="25">
        <f>IF(PaymentSchedule[[#This Row],[PMT NO]]&lt;&gt;"",SUM(INDEX(PaymentSchedule[INTEREST],1,1):PaymentSchedule[[#This Row],[INTEREST]]),"")</f>
        <v>147.30751019189449</v>
      </c>
    </row>
    <row r="22" spans="1:10" x14ac:dyDescent="0.3">
      <c r="A22" s="4">
        <f>IF(LoanIsGood,IF(ROW()-ROW(PaymentSchedule[[#Headers],[PMT NO]])&gt;ScheduledNumberOfPayments,"",ROW()-ROW(PaymentSchedule[[#Headers],[PMT NO]])),"")</f>
        <v>7</v>
      </c>
      <c r="B22" s="24">
        <f>IF(PaymentSchedule[[#This Row],[PMT NO]]&lt;&gt;"",EOMONTH(LoanStartDate,ROW(PaymentSchedule[[#This Row],[PMT NO]])-ROW(PaymentSchedule[[#Headers],[PMT NO]])-2)+DAY(LoanStartDate),"")</f>
        <v>45275</v>
      </c>
      <c r="C22" s="25">
        <f>IF(PaymentSchedule[[#This Row],[PMT NO]]&lt;&gt;"",IF(ROW()-ROW(PaymentSchedule[[#Headers],[BEGINNING BALANCE]])=1,LoanAmount,INDEX(PaymentSchedule[ENDING BALANCE],ROW()-ROW(PaymentSchedule[[#Headers],[BEGINNING BALANCE]])-1)),"")</f>
        <v>9567.9430420015542</v>
      </c>
      <c r="D22" s="25">
        <f>IF(PaymentSchedule[[#This Row],[PMT NO]]&lt;&gt;"",ScheduledPayment,"")</f>
        <v>96.560744698389513</v>
      </c>
      <c r="E2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2" s="25">
        <f>IF(PaymentSchedule[[#This Row],[PMT NO]]&lt;&gt;"",PaymentSchedule[[#This Row],[TOTAL PAYMENT]]-PaymentSchedule[[#This Row],[INTEREST]],"")</f>
        <v>72.640887093385629</v>
      </c>
      <c r="H22" s="25">
        <f>IF(PaymentSchedule[[#This Row],[PMT NO]]&lt;&gt;"",PaymentSchedule[[#This Row],[BEGINNING BALANCE]]*(InterestRate/PaymentsPerYear),"")</f>
        <v>23.919857605003887</v>
      </c>
      <c r="I2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9495.3021549081677</v>
      </c>
      <c r="J22" s="25">
        <f>IF(PaymentSchedule[[#This Row],[PMT NO]]&lt;&gt;"",SUM(INDEX(PaymentSchedule[INTEREST],1,1):PaymentSchedule[[#This Row],[INTEREST]]),"")</f>
        <v>171.22736779689839</v>
      </c>
    </row>
    <row r="23" spans="1:10" x14ac:dyDescent="0.3">
      <c r="A23" s="4">
        <f>IF(LoanIsGood,IF(ROW()-ROW(PaymentSchedule[[#Headers],[PMT NO]])&gt;ScheduledNumberOfPayments,"",ROW()-ROW(PaymentSchedule[[#Headers],[PMT NO]])),"")</f>
        <v>8</v>
      </c>
      <c r="B23" s="24">
        <f>IF(PaymentSchedule[[#This Row],[PMT NO]]&lt;&gt;"",EOMONTH(LoanStartDate,ROW(PaymentSchedule[[#This Row],[PMT NO]])-ROW(PaymentSchedule[[#Headers],[PMT NO]])-2)+DAY(LoanStartDate),"")</f>
        <v>45306</v>
      </c>
      <c r="C23" s="25">
        <f>IF(PaymentSchedule[[#This Row],[PMT NO]]&lt;&gt;"",IF(ROW()-ROW(PaymentSchedule[[#Headers],[BEGINNING BALANCE]])=1,LoanAmount,INDEX(PaymentSchedule[ENDING BALANCE],ROW()-ROW(PaymentSchedule[[#Headers],[BEGINNING BALANCE]])-1)),"")</f>
        <v>9495.3021549081677</v>
      </c>
      <c r="D23" s="25">
        <f>IF(PaymentSchedule[[#This Row],[PMT NO]]&lt;&gt;"",ScheduledPayment,"")</f>
        <v>96.560744698389513</v>
      </c>
      <c r="E2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3" s="25">
        <f>IF(PaymentSchedule[[#This Row],[PMT NO]]&lt;&gt;"",PaymentSchedule[[#This Row],[TOTAL PAYMENT]]-PaymentSchedule[[#This Row],[INTEREST]],"")</f>
        <v>72.822489311119085</v>
      </c>
      <c r="H23" s="25">
        <f>IF(PaymentSchedule[[#This Row],[PMT NO]]&lt;&gt;"",PaymentSchedule[[#This Row],[BEGINNING BALANCE]]*(InterestRate/PaymentsPerYear),"")</f>
        <v>23.738255387270421</v>
      </c>
      <c r="I2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9422.4796655970495</v>
      </c>
      <c r="J23" s="25">
        <f>IF(PaymentSchedule[[#This Row],[PMT NO]]&lt;&gt;"",SUM(INDEX(PaymentSchedule[INTEREST],1,1):PaymentSchedule[[#This Row],[INTEREST]]),"")</f>
        <v>194.96562318416881</v>
      </c>
    </row>
    <row r="24" spans="1:10" x14ac:dyDescent="0.3">
      <c r="A24" s="4">
        <f>IF(LoanIsGood,IF(ROW()-ROW(PaymentSchedule[[#Headers],[PMT NO]])&gt;ScheduledNumberOfPayments,"",ROW()-ROW(PaymentSchedule[[#Headers],[PMT NO]])),"")</f>
        <v>9</v>
      </c>
      <c r="B24" s="24">
        <f>IF(PaymentSchedule[[#This Row],[PMT NO]]&lt;&gt;"",EOMONTH(LoanStartDate,ROW(PaymentSchedule[[#This Row],[PMT NO]])-ROW(PaymentSchedule[[#Headers],[PMT NO]])-2)+DAY(LoanStartDate),"")</f>
        <v>45337</v>
      </c>
      <c r="C24" s="25">
        <f>IF(PaymentSchedule[[#This Row],[PMT NO]]&lt;&gt;"",IF(ROW()-ROW(PaymentSchedule[[#Headers],[BEGINNING BALANCE]])=1,LoanAmount,INDEX(PaymentSchedule[ENDING BALANCE],ROW()-ROW(PaymentSchedule[[#Headers],[BEGINNING BALANCE]])-1)),"")</f>
        <v>9422.4796655970495</v>
      </c>
      <c r="D24" s="25">
        <f>IF(PaymentSchedule[[#This Row],[PMT NO]]&lt;&gt;"",ScheduledPayment,"")</f>
        <v>96.560744698389513</v>
      </c>
      <c r="E2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4" s="25">
        <f>IF(PaymentSchedule[[#This Row],[PMT NO]]&lt;&gt;"",PaymentSchedule[[#This Row],[TOTAL PAYMENT]]-PaymentSchedule[[#This Row],[INTEREST]],"")</f>
        <v>73.004545534396897</v>
      </c>
      <c r="H24" s="25">
        <f>IF(PaymentSchedule[[#This Row],[PMT NO]]&lt;&gt;"",PaymentSchedule[[#This Row],[BEGINNING BALANCE]]*(InterestRate/PaymentsPerYear),"")</f>
        <v>23.556199163992623</v>
      </c>
      <c r="I2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9349.4751200626524</v>
      </c>
      <c r="J24" s="25">
        <f>IF(PaymentSchedule[[#This Row],[PMT NO]]&lt;&gt;"",SUM(INDEX(PaymentSchedule[INTEREST],1,1):PaymentSchedule[[#This Row],[INTEREST]]),"")</f>
        <v>218.52182234816144</v>
      </c>
    </row>
    <row r="25" spans="1:10" x14ac:dyDescent="0.3">
      <c r="A25" s="4">
        <f>IF(LoanIsGood,IF(ROW()-ROW(PaymentSchedule[[#Headers],[PMT NO]])&gt;ScheduledNumberOfPayments,"",ROW()-ROW(PaymentSchedule[[#Headers],[PMT NO]])),"")</f>
        <v>10</v>
      </c>
      <c r="B25" s="24">
        <f>IF(PaymentSchedule[[#This Row],[PMT NO]]&lt;&gt;"",EOMONTH(LoanStartDate,ROW(PaymentSchedule[[#This Row],[PMT NO]])-ROW(PaymentSchedule[[#Headers],[PMT NO]])-2)+DAY(LoanStartDate),"")</f>
        <v>45366</v>
      </c>
      <c r="C25" s="25">
        <f>IF(PaymentSchedule[[#This Row],[PMT NO]]&lt;&gt;"",IF(ROW()-ROW(PaymentSchedule[[#Headers],[BEGINNING BALANCE]])=1,LoanAmount,INDEX(PaymentSchedule[ENDING BALANCE],ROW()-ROW(PaymentSchedule[[#Headers],[BEGINNING BALANCE]])-1)),"")</f>
        <v>9349.4751200626524</v>
      </c>
      <c r="D25" s="25">
        <f>IF(PaymentSchedule[[#This Row],[PMT NO]]&lt;&gt;"",ScheduledPayment,"")</f>
        <v>96.560744698389513</v>
      </c>
      <c r="E2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5" s="25">
        <f>IF(PaymentSchedule[[#This Row],[PMT NO]]&lt;&gt;"",PaymentSchedule[[#This Row],[TOTAL PAYMENT]]-PaymentSchedule[[#This Row],[INTEREST]],"")</f>
        <v>73.187056898232882</v>
      </c>
      <c r="H25" s="25">
        <f>IF(PaymentSchedule[[#This Row],[PMT NO]]&lt;&gt;"",PaymentSchedule[[#This Row],[BEGINNING BALANCE]]*(InterestRate/PaymentsPerYear),"")</f>
        <v>23.373687800156631</v>
      </c>
      <c r="I2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9276.2880631644202</v>
      </c>
      <c r="J25" s="25">
        <f>IF(PaymentSchedule[[#This Row],[PMT NO]]&lt;&gt;"",SUM(INDEX(PaymentSchedule[INTEREST],1,1):PaymentSchedule[[#This Row],[INTEREST]]),"")</f>
        <v>241.89551014831807</v>
      </c>
    </row>
    <row r="26" spans="1:10" x14ac:dyDescent="0.3">
      <c r="A26" s="4">
        <f>IF(LoanIsGood,IF(ROW()-ROW(PaymentSchedule[[#Headers],[PMT NO]])&gt;ScheduledNumberOfPayments,"",ROW()-ROW(PaymentSchedule[[#Headers],[PMT NO]])),"")</f>
        <v>11</v>
      </c>
      <c r="B26" s="24">
        <f>IF(PaymentSchedule[[#This Row],[PMT NO]]&lt;&gt;"",EOMONTH(LoanStartDate,ROW(PaymentSchedule[[#This Row],[PMT NO]])-ROW(PaymentSchedule[[#Headers],[PMT NO]])-2)+DAY(LoanStartDate),"")</f>
        <v>45397</v>
      </c>
      <c r="C26" s="25">
        <f>IF(PaymentSchedule[[#This Row],[PMT NO]]&lt;&gt;"",IF(ROW()-ROW(PaymentSchedule[[#Headers],[BEGINNING BALANCE]])=1,LoanAmount,INDEX(PaymentSchedule[ENDING BALANCE],ROW()-ROW(PaymentSchedule[[#Headers],[BEGINNING BALANCE]])-1)),"")</f>
        <v>9276.2880631644202</v>
      </c>
      <c r="D26" s="25">
        <f>IF(PaymentSchedule[[#This Row],[PMT NO]]&lt;&gt;"",ScheduledPayment,"")</f>
        <v>96.560744698389513</v>
      </c>
      <c r="E2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6" s="25">
        <f>IF(PaymentSchedule[[#This Row],[PMT NO]]&lt;&gt;"",PaymentSchedule[[#This Row],[TOTAL PAYMENT]]-PaymentSchedule[[#This Row],[INTEREST]],"")</f>
        <v>73.370024540478454</v>
      </c>
      <c r="H26" s="25">
        <f>IF(PaymentSchedule[[#This Row],[PMT NO]]&lt;&gt;"",PaymentSchedule[[#This Row],[BEGINNING BALANCE]]*(InterestRate/PaymentsPerYear),"")</f>
        <v>23.190720157911052</v>
      </c>
      <c r="I2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9202.9180386239423</v>
      </c>
      <c r="J26" s="25">
        <f>IF(PaymentSchedule[[#This Row],[PMT NO]]&lt;&gt;"",SUM(INDEX(PaymentSchedule[INTEREST],1,1):PaymentSchedule[[#This Row],[INTEREST]]),"")</f>
        <v>265.08623030622914</v>
      </c>
    </row>
    <row r="27" spans="1:10" x14ac:dyDescent="0.3">
      <c r="A27" s="4">
        <f>IF(LoanIsGood,IF(ROW()-ROW(PaymentSchedule[[#Headers],[PMT NO]])&gt;ScheduledNumberOfPayments,"",ROW()-ROW(PaymentSchedule[[#Headers],[PMT NO]])),"")</f>
        <v>12</v>
      </c>
      <c r="B27" s="24">
        <f>IF(PaymentSchedule[[#This Row],[PMT NO]]&lt;&gt;"",EOMONTH(LoanStartDate,ROW(PaymentSchedule[[#This Row],[PMT NO]])-ROW(PaymentSchedule[[#Headers],[PMT NO]])-2)+DAY(LoanStartDate),"")</f>
        <v>45427</v>
      </c>
      <c r="C27" s="25">
        <f>IF(PaymentSchedule[[#This Row],[PMT NO]]&lt;&gt;"",IF(ROW()-ROW(PaymentSchedule[[#Headers],[BEGINNING BALANCE]])=1,LoanAmount,INDEX(PaymentSchedule[ENDING BALANCE],ROW()-ROW(PaymentSchedule[[#Headers],[BEGINNING BALANCE]])-1)),"")</f>
        <v>9202.9180386239423</v>
      </c>
      <c r="D27" s="25">
        <f>IF(PaymentSchedule[[#This Row],[PMT NO]]&lt;&gt;"",ScheduledPayment,"")</f>
        <v>96.560744698389513</v>
      </c>
      <c r="E2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7" s="25">
        <f>IF(PaymentSchedule[[#This Row],[PMT NO]]&lt;&gt;"",PaymentSchedule[[#This Row],[TOTAL PAYMENT]]-PaymentSchedule[[#This Row],[INTEREST]],"")</f>
        <v>73.553449601829655</v>
      </c>
      <c r="H27" s="25">
        <f>IF(PaymentSchedule[[#This Row],[PMT NO]]&lt;&gt;"",PaymentSchedule[[#This Row],[BEGINNING BALANCE]]*(InterestRate/PaymentsPerYear),"")</f>
        <v>23.007295096559854</v>
      </c>
      <c r="I2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9129.3645890221123</v>
      </c>
      <c r="J27" s="25">
        <f>IF(PaymentSchedule[[#This Row],[PMT NO]]&lt;&gt;"",SUM(INDEX(PaymentSchedule[INTEREST],1,1):PaymentSchedule[[#This Row],[INTEREST]]),"")</f>
        <v>288.093525402789</v>
      </c>
    </row>
    <row r="28" spans="1:10" x14ac:dyDescent="0.3">
      <c r="A28" s="4">
        <f>IF(LoanIsGood,IF(ROW()-ROW(PaymentSchedule[[#Headers],[PMT NO]])&gt;ScheduledNumberOfPayments,"",ROW()-ROW(PaymentSchedule[[#Headers],[PMT NO]])),"")</f>
        <v>13</v>
      </c>
      <c r="B28" s="24">
        <f>IF(PaymentSchedule[[#This Row],[PMT NO]]&lt;&gt;"",EOMONTH(LoanStartDate,ROW(PaymentSchedule[[#This Row],[PMT NO]])-ROW(PaymentSchedule[[#Headers],[PMT NO]])-2)+DAY(LoanStartDate),"")</f>
        <v>45458</v>
      </c>
      <c r="C28" s="25">
        <f>IF(PaymentSchedule[[#This Row],[PMT NO]]&lt;&gt;"",IF(ROW()-ROW(PaymentSchedule[[#Headers],[BEGINNING BALANCE]])=1,LoanAmount,INDEX(PaymentSchedule[ENDING BALANCE],ROW()-ROW(PaymentSchedule[[#Headers],[BEGINNING BALANCE]])-1)),"")</f>
        <v>9129.3645890221123</v>
      </c>
      <c r="D28" s="25">
        <f>IF(PaymentSchedule[[#This Row],[PMT NO]]&lt;&gt;"",ScheduledPayment,"")</f>
        <v>96.560744698389513</v>
      </c>
      <c r="E2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8" s="25">
        <f>IF(PaymentSchedule[[#This Row],[PMT NO]]&lt;&gt;"",PaymentSchedule[[#This Row],[TOTAL PAYMENT]]-PaymentSchedule[[#This Row],[INTEREST]],"")</f>
        <v>73.737333225834234</v>
      </c>
      <c r="H28" s="25">
        <f>IF(PaymentSchedule[[#This Row],[PMT NO]]&lt;&gt;"",PaymentSchedule[[#This Row],[BEGINNING BALANCE]]*(InterestRate/PaymentsPerYear),"")</f>
        <v>22.823411472555282</v>
      </c>
      <c r="I2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9055.6272557962784</v>
      </c>
      <c r="J28" s="25">
        <f>IF(PaymentSchedule[[#This Row],[PMT NO]]&lt;&gt;"",SUM(INDEX(PaymentSchedule[INTEREST],1,1):PaymentSchedule[[#This Row],[INTEREST]]),"")</f>
        <v>310.91693687534428</v>
      </c>
    </row>
    <row r="29" spans="1:10" x14ac:dyDescent="0.3">
      <c r="A29" s="4">
        <f>IF(LoanIsGood,IF(ROW()-ROW(PaymentSchedule[[#Headers],[PMT NO]])&gt;ScheduledNumberOfPayments,"",ROW()-ROW(PaymentSchedule[[#Headers],[PMT NO]])),"")</f>
        <v>14</v>
      </c>
      <c r="B29" s="24">
        <f>IF(PaymentSchedule[[#This Row],[PMT NO]]&lt;&gt;"",EOMONTH(LoanStartDate,ROW(PaymentSchedule[[#This Row],[PMT NO]])-ROW(PaymentSchedule[[#Headers],[PMT NO]])-2)+DAY(LoanStartDate),"")</f>
        <v>45488</v>
      </c>
      <c r="C29" s="25">
        <f>IF(PaymentSchedule[[#This Row],[PMT NO]]&lt;&gt;"",IF(ROW()-ROW(PaymentSchedule[[#Headers],[BEGINNING BALANCE]])=1,LoanAmount,INDEX(PaymentSchedule[ENDING BALANCE],ROW()-ROW(PaymentSchedule[[#Headers],[BEGINNING BALANCE]])-1)),"")</f>
        <v>9055.6272557962784</v>
      </c>
      <c r="D29" s="25">
        <f>IF(PaymentSchedule[[#This Row],[PMT NO]]&lt;&gt;"",ScheduledPayment,"")</f>
        <v>96.560744698389513</v>
      </c>
      <c r="E2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2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29" s="25">
        <f>IF(PaymentSchedule[[#This Row],[PMT NO]]&lt;&gt;"",PaymentSchedule[[#This Row],[TOTAL PAYMENT]]-PaymentSchedule[[#This Row],[INTEREST]],"")</f>
        <v>73.92167655889881</v>
      </c>
      <c r="H29" s="25">
        <f>IF(PaymentSchedule[[#This Row],[PMT NO]]&lt;&gt;"",PaymentSchedule[[#This Row],[BEGINNING BALANCE]]*(InterestRate/PaymentsPerYear),"")</f>
        <v>22.639068139490696</v>
      </c>
      <c r="I2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8981.7055792373794</v>
      </c>
      <c r="J29" s="25">
        <f>IF(PaymentSchedule[[#This Row],[PMT NO]]&lt;&gt;"",SUM(INDEX(PaymentSchedule[INTEREST],1,1):PaymentSchedule[[#This Row],[INTEREST]]),"")</f>
        <v>333.55600501483497</v>
      </c>
    </row>
    <row r="30" spans="1:10" x14ac:dyDescent="0.3">
      <c r="A30" s="4">
        <f>IF(LoanIsGood,IF(ROW()-ROW(PaymentSchedule[[#Headers],[PMT NO]])&gt;ScheduledNumberOfPayments,"",ROW()-ROW(PaymentSchedule[[#Headers],[PMT NO]])),"")</f>
        <v>15</v>
      </c>
      <c r="B30" s="24">
        <f>IF(PaymentSchedule[[#This Row],[PMT NO]]&lt;&gt;"",EOMONTH(LoanStartDate,ROW(PaymentSchedule[[#This Row],[PMT NO]])-ROW(PaymentSchedule[[#Headers],[PMT NO]])-2)+DAY(LoanStartDate),"")</f>
        <v>45519</v>
      </c>
      <c r="C30" s="25">
        <f>IF(PaymentSchedule[[#This Row],[PMT NO]]&lt;&gt;"",IF(ROW()-ROW(PaymentSchedule[[#Headers],[BEGINNING BALANCE]])=1,LoanAmount,INDEX(PaymentSchedule[ENDING BALANCE],ROW()-ROW(PaymentSchedule[[#Headers],[BEGINNING BALANCE]])-1)),"")</f>
        <v>8981.7055792373794</v>
      </c>
      <c r="D30" s="25">
        <f>IF(PaymentSchedule[[#This Row],[PMT NO]]&lt;&gt;"",ScheduledPayment,"")</f>
        <v>96.560744698389513</v>
      </c>
      <c r="E3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0" s="25">
        <f>IF(PaymentSchedule[[#This Row],[PMT NO]]&lt;&gt;"",PaymentSchedule[[#This Row],[TOTAL PAYMENT]]-PaymentSchedule[[#This Row],[INTEREST]],"")</f>
        <v>74.106480750296072</v>
      </c>
      <c r="H30" s="25">
        <f>IF(PaymentSchedule[[#This Row],[PMT NO]]&lt;&gt;"",PaymentSchedule[[#This Row],[BEGINNING BALANCE]]*(InterestRate/PaymentsPerYear),"")</f>
        <v>22.454263948093448</v>
      </c>
      <c r="I3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8907.5990984870841</v>
      </c>
      <c r="J30" s="25">
        <f>IF(PaymentSchedule[[#This Row],[PMT NO]]&lt;&gt;"",SUM(INDEX(PaymentSchedule[INTEREST],1,1):PaymentSchedule[[#This Row],[INTEREST]]),"")</f>
        <v>356.01026896292842</v>
      </c>
    </row>
    <row r="31" spans="1:10" x14ac:dyDescent="0.3">
      <c r="A31" s="4">
        <f>IF(LoanIsGood,IF(ROW()-ROW(PaymentSchedule[[#Headers],[PMT NO]])&gt;ScheduledNumberOfPayments,"",ROW()-ROW(PaymentSchedule[[#Headers],[PMT NO]])),"")</f>
        <v>16</v>
      </c>
      <c r="B31" s="24">
        <f>IF(PaymentSchedule[[#This Row],[PMT NO]]&lt;&gt;"",EOMONTH(LoanStartDate,ROW(PaymentSchedule[[#This Row],[PMT NO]])-ROW(PaymentSchedule[[#Headers],[PMT NO]])-2)+DAY(LoanStartDate),"")</f>
        <v>45550</v>
      </c>
      <c r="C31" s="25">
        <f>IF(PaymentSchedule[[#This Row],[PMT NO]]&lt;&gt;"",IF(ROW()-ROW(PaymentSchedule[[#Headers],[BEGINNING BALANCE]])=1,LoanAmount,INDEX(PaymentSchedule[ENDING BALANCE],ROW()-ROW(PaymentSchedule[[#Headers],[BEGINNING BALANCE]])-1)),"")</f>
        <v>8907.5990984870841</v>
      </c>
      <c r="D31" s="25">
        <f>IF(PaymentSchedule[[#This Row],[PMT NO]]&lt;&gt;"",ScheduledPayment,"")</f>
        <v>96.560744698389513</v>
      </c>
      <c r="E3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1" s="25">
        <f>IF(PaymentSchedule[[#This Row],[PMT NO]]&lt;&gt;"",PaymentSchedule[[#This Row],[TOTAL PAYMENT]]-PaymentSchedule[[#This Row],[INTEREST]],"")</f>
        <v>74.291746952171806</v>
      </c>
      <c r="H31" s="25">
        <f>IF(PaymentSchedule[[#This Row],[PMT NO]]&lt;&gt;"",PaymentSchedule[[#This Row],[BEGINNING BALANCE]]*(InterestRate/PaymentsPerYear),"")</f>
        <v>22.26899774621771</v>
      </c>
      <c r="I3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8833.3073515349115</v>
      </c>
      <c r="J31" s="25">
        <f>IF(PaymentSchedule[[#This Row],[PMT NO]]&lt;&gt;"",SUM(INDEX(PaymentSchedule[INTEREST],1,1):PaymentSchedule[[#This Row],[INTEREST]]),"")</f>
        <v>378.27926670914616</v>
      </c>
    </row>
    <row r="32" spans="1:10" x14ac:dyDescent="0.3">
      <c r="A32" s="4">
        <f>IF(LoanIsGood,IF(ROW()-ROW(PaymentSchedule[[#Headers],[PMT NO]])&gt;ScheduledNumberOfPayments,"",ROW()-ROW(PaymentSchedule[[#Headers],[PMT NO]])),"")</f>
        <v>17</v>
      </c>
      <c r="B32" s="24">
        <f>IF(PaymentSchedule[[#This Row],[PMT NO]]&lt;&gt;"",EOMONTH(LoanStartDate,ROW(PaymentSchedule[[#This Row],[PMT NO]])-ROW(PaymentSchedule[[#Headers],[PMT NO]])-2)+DAY(LoanStartDate),"")</f>
        <v>45580</v>
      </c>
      <c r="C32" s="25">
        <f>IF(PaymentSchedule[[#This Row],[PMT NO]]&lt;&gt;"",IF(ROW()-ROW(PaymentSchedule[[#Headers],[BEGINNING BALANCE]])=1,LoanAmount,INDEX(PaymentSchedule[ENDING BALANCE],ROW()-ROW(PaymentSchedule[[#Headers],[BEGINNING BALANCE]])-1)),"")</f>
        <v>8833.3073515349115</v>
      </c>
      <c r="D32" s="25">
        <f>IF(PaymentSchedule[[#This Row],[PMT NO]]&lt;&gt;"",ScheduledPayment,"")</f>
        <v>96.560744698389513</v>
      </c>
      <c r="E3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2" s="25">
        <f>IF(PaymentSchedule[[#This Row],[PMT NO]]&lt;&gt;"",PaymentSchedule[[#This Row],[TOTAL PAYMENT]]-PaymentSchedule[[#This Row],[INTEREST]],"")</f>
        <v>74.477476319552238</v>
      </c>
      <c r="H32" s="25">
        <f>IF(PaymentSchedule[[#This Row],[PMT NO]]&lt;&gt;"",PaymentSchedule[[#This Row],[BEGINNING BALANCE]]*(InterestRate/PaymentsPerYear),"")</f>
        <v>22.083268378837278</v>
      </c>
      <c r="I3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8758.8298752153587</v>
      </c>
      <c r="J32" s="25">
        <f>IF(PaymentSchedule[[#This Row],[PMT NO]]&lt;&gt;"",SUM(INDEX(PaymentSchedule[INTEREST],1,1):PaymentSchedule[[#This Row],[INTEREST]]),"")</f>
        <v>400.36253508798342</v>
      </c>
    </row>
    <row r="33" spans="1:10" x14ac:dyDescent="0.3">
      <c r="A33" s="4">
        <f>IF(LoanIsGood,IF(ROW()-ROW(PaymentSchedule[[#Headers],[PMT NO]])&gt;ScheduledNumberOfPayments,"",ROW()-ROW(PaymentSchedule[[#Headers],[PMT NO]])),"")</f>
        <v>18</v>
      </c>
      <c r="B33" s="24">
        <f>IF(PaymentSchedule[[#This Row],[PMT NO]]&lt;&gt;"",EOMONTH(LoanStartDate,ROW(PaymentSchedule[[#This Row],[PMT NO]])-ROW(PaymentSchedule[[#Headers],[PMT NO]])-2)+DAY(LoanStartDate),"")</f>
        <v>45611</v>
      </c>
      <c r="C33" s="25">
        <f>IF(PaymentSchedule[[#This Row],[PMT NO]]&lt;&gt;"",IF(ROW()-ROW(PaymentSchedule[[#Headers],[BEGINNING BALANCE]])=1,LoanAmount,INDEX(PaymentSchedule[ENDING BALANCE],ROW()-ROW(PaymentSchedule[[#Headers],[BEGINNING BALANCE]])-1)),"")</f>
        <v>8758.8298752153587</v>
      </c>
      <c r="D33" s="25">
        <f>IF(PaymentSchedule[[#This Row],[PMT NO]]&lt;&gt;"",ScheduledPayment,"")</f>
        <v>96.560744698389513</v>
      </c>
      <c r="E33" s="25">
        <v>0</v>
      </c>
      <c r="F3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3" s="25">
        <f>IF(PaymentSchedule[[#This Row],[PMT NO]]&lt;&gt;"",PaymentSchedule[[#This Row],[TOTAL PAYMENT]]-PaymentSchedule[[#This Row],[INTEREST]],"")</f>
        <v>74.663670010351112</v>
      </c>
      <c r="H33" s="25">
        <f>IF(PaymentSchedule[[#This Row],[PMT NO]]&lt;&gt;"",PaymentSchedule[[#This Row],[BEGINNING BALANCE]]*(InterestRate/PaymentsPerYear),"")</f>
        <v>21.897074688038398</v>
      </c>
      <c r="I3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8684.1662052050069</v>
      </c>
      <c r="J33" s="25">
        <f>IF(PaymentSchedule[[#This Row],[PMT NO]]&lt;&gt;"",SUM(INDEX(PaymentSchedule[INTEREST],1,1):PaymentSchedule[[#This Row],[INTEREST]]),"")</f>
        <v>422.25960977602182</v>
      </c>
    </row>
    <row r="34" spans="1:10" x14ac:dyDescent="0.3">
      <c r="A34" s="4">
        <f>IF(LoanIsGood,IF(ROW()-ROW(PaymentSchedule[[#Headers],[PMT NO]])&gt;ScheduledNumberOfPayments,"",ROW()-ROW(PaymentSchedule[[#Headers],[PMT NO]])),"")</f>
        <v>19</v>
      </c>
      <c r="B34" s="24">
        <f>IF(PaymentSchedule[[#This Row],[PMT NO]]&lt;&gt;"",EOMONTH(LoanStartDate,ROW(PaymentSchedule[[#This Row],[PMT NO]])-ROW(PaymentSchedule[[#Headers],[PMT NO]])-2)+DAY(LoanStartDate),"")</f>
        <v>45641</v>
      </c>
      <c r="C34" s="25">
        <f>IF(PaymentSchedule[[#This Row],[PMT NO]]&lt;&gt;"",IF(ROW()-ROW(PaymentSchedule[[#Headers],[BEGINNING BALANCE]])=1,LoanAmount,INDEX(PaymentSchedule[ENDING BALANCE],ROW()-ROW(PaymentSchedule[[#Headers],[BEGINNING BALANCE]])-1)),"")</f>
        <v>8684.1662052050069</v>
      </c>
      <c r="D34" s="25">
        <f>IF(PaymentSchedule[[#This Row],[PMT NO]]&lt;&gt;"",ScheduledPayment,"")</f>
        <v>96.560744698389513</v>
      </c>
      <c r="E3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4" s="25">
        <f>IF(PaymentSchedule[[#This Row],[PMT NO]]&lt;&gt;"",PaymentSchedule[[#This Row],[TOTAL PAYMENT]]-PaymentSchedule[[#This Row],[INTEREST]],"")</f>
        <v>74.850329185376992</v>
      </c>
      <c r="H34" s="25">
        <f>IF(PaymentSchedule[[#This Row],[PMT NO]]&lt;&gt;"",PaymentSchedule[[#This Row],[BEGINNING BALANCE]]*(InterestRate/PaymentsPerYear),"")</f>
        <v>21.710415513012517</v>
      </c>
      <c r="I3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8609.3158760196293</v>
      </c>
      <c r="J34" s="25">
        <f>IF(PaymentSchedule[[#This Row],[PMT NO]]&lt;&gt;"",SUM(INDEX(PaymentSchedule[INTEREST],1,1):PaymentSchedule[[#This Row],[INTEREST]]),"")</f>
        <v>443.97002528903431</v>
      </c>
    </row>
    <row r="35" spans="1:10" x14ac:dyDescent="0.3">
      <c r="A35" s="4">
        <f>IF(LoanIsGood,IF(ROW()-ROW(PaymentSchedule[[#Headers],[PMT NO]])&gt;ScheduledNumberOfPayments,"",ROW()-ROW(PaymentSchedule[[#Headers],[PMT NO]])),"")</f>
        <v>20</v>
      </c>
      <c r="B35" s="24">
        <f>IF(PaymentSchedule[[#This Row],[PMT NO]]&lt;&gt;"",EOMONTH(LoanStartDate,ROW(PaymentSchedule[[#This Row],[PMT NO]])-ROW(PaymentSchedule[[#Headers],[PMT NO]])-2)+DAY(LoanStartDate),"")</f>
        <v>45672</v>
      </c>
      <c r="C35" s="25">
        <f>IF(PaymentSchedule[[#This Row],[PMT NO]]&lt;&gt;"",IF(ROW()-ROW(PaymentSchedule[[#Headers],[BEGINNING BALANCE]])=1,LoanAmount,INDEX(PaymentSchedule[ENDING BALANCE],ROW()-ROW(PaymentSchedule[[#Headers],[BEGINNING BALANCE]])-1)),"")</f>
        <v>8609.3158760196293</v>
      </c>
      <c r="D35" s="25">
        <f>IF(PaymentSchedule[[#This Row],[PMT NO]]&lt;&gt;"",ScheduledPayment,"")</f>
        <v>96.560744698389513</v>
      </c>
      <c r="E3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5" s="25">
        <f>IF(PaymentSchedule[[#This Row],[PMT NO]]&lt;&gt;"",PaymentSchedule[[#This Row],[TOTAL PAYMENT]]-PaymentSchedule[[#This Row],[INTEREST]],"")</f>
        <v>75.037455008340444</v>
      </c>
      <c r="H35" s="25">
        <f>IF(PaymentSchedule[[#This Row],[PMT NO]]&lt;&gt;"",PaymentSchedule[[#This Row],[BEGINNING BALANCE]]*(InterestRate/PaymentsPerYear),"")</f>
        <v>21.523289690049072</v>
      </c>
      <c r="I3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8534.2784210112895</v>
      </c>
      <c r="J35" s="25">
        <f>IF(PaymentSchedule[[#This Row],[PMT NO]]&lt;&gt;"",SUM(INDEX(PaymentSchedule[INTEREST],1,1):PaymentSchedule[[#This Row],[INTEREST]]),"")</f>
        <v>465.49331497908338</v>
      </c>
    </row>
    <row r="36" spans="1:10" x14ac:dyDescent="0.3">
      <c r="A36" s="4">
        <f>IF(LoanIsGood,IF(ROW()-ROW(PaymentSchedule[[#Headers],[PMT NO]])&gt;ScheduledNumberOfPayments,"",ROW()-ROW(PaymentSchedule[[#Headers],[PMT NO]])),"")</f>
        <v>21</v>
      </c>
      <c r="B36" s="24">
        <f>IF(PaymentSchedule[[#This Row],[PMT NO]]&lt;&gt;"",EOMONTH(LoanStartDate,ROW(PaymentSchedule[[#This Row],[PMT NO]])-ROW(PaymentSchedule[[#Headers],[PMT NO]])-2)+DAY(LoanStartDate),"")</f>
        <v>45703</v>
      </c>
      <c r="C36" s="25">
        <f>IF(PaymentSchedule[[#This Row],[PMT NO]]&lt;&gt;"",IF(ROW()-ROW(PaymentSchedule[[#Headers],[BEGINNING BALANCE]])=1,LoanAmount,INDEX(PaymentSchedule[ENDING BALANCE],ROW()-ROW(PaymentSchedule[[#Headers],[BEGINNING BALANCE]])-1)),"")</f>
        <v>8534.2784210112895</v>
      </c>
      <c r="D36" s="25">
        <f>IF(PaymentSchedule[[#This Row],[PMT NO]]&lt;&gt;"",ScheduledPayment,"")</f>
        <v>96.560744698389513</v>
      </c>
      <c r="E3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6" s="25">
        <f>IF(PaymentSchedule[[#This Row],[PMT NO]]&lt;&gt;"",PaymentSchedule[[#This Row],[TOTAL PAYMENT]]-PaymentSchedule[[#This Row],[INTEREST]],"")</f>
        <v>75.225048645861293</v>
      </c>
      <c r="H36" s="25">
        <f>IF(PaymentSchedule[[#This Row],[PMT NO]]&lt;&gt;"",PaymentSchedule[[#This Row],[BEGINNING BALANCE]]*(InterestRate/PaymentsPerYear),"")</f>
        <v>21.335696052528224</v>
      </c>
      <c r="I3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8459.053372365428</v>
      </c>
      <c r="J36" s="25">
        <f>IF(PaymentSchedule[[#This Row],[PMT NO]]&lt;&gt;"",SUM(INDEX(PaymentSchedule[INTEREST],1,1):PaymentSchedule[[#This Row],[INTEREST]]),"")</f>
        <v>486.82901103161163</v>
      </c>
    </row>
    <row r="37" spans="1:10" x14ac:dyDescent="0.3">
      <c r="A37" s="4">
        <f>IF(LoanIsGood,IF(ROW()-ROW(PaymentSchedule[[#Headers],[PMT NO]])&gt;ScheduledNumberOfPayments,"",ROW()-ROW(PaymentSchedule[[#Headers],[PMT NO]])),"")</f>
        <v>22</v>
      </c>
      <c r="B37" s="24">
        <f>IF(PaymentSchedule[[#This Row],[PMT NO]]&lt;&gt;"",EOMONTH(LoanStartDate,ROW(PaymentSchedule[[#This Row],[PMT NO]])-ROW(PaymentSchedule[[#Headers],[PMT NO]])-2)+DAY(LoanStartDate),"")</f>
        <v>45731</v>
      </c>
      <c r="C37" s="25">
        <f>IF(PaymentSchedule[[#This Row],[PMT NO]]&lt;&gt;"",IF(ROW()-ROW(PaymentSchedule[[#Headers],[BEGINNING BALANCE]])=1,LoanAmount,INDEX(PaymentSchedule[ENDING BALANCE],ROW()-ROW(PaymentSchedule[[#Headers],[BEGINNING BALANCE]])-1)),"")</f>
        <v>8459.053372365428</v>
      </c>
      <c r="D37" s="25">
        <f>IF(PaymentSchedule[[#This Row],[PMT NO]]&lt;&gt;"",ScheduledPayment,"")</f>
        <v>96.560744698389513</v>
      </c>
      <c r="E3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7" s="25">
        <f>IF(PaymentSchedule[[#This Row],[PMT NO]]&lt;&gt;"",PaymentSchedule[[#This Row],[TOTAL PAYMENT]]-PaymentSchedule[[#This Row],[INTEREST]],"")</f>
        <v>75.413111267475941</v>
      </c>
      <c r="H37" s="25">
        <f>IF(PaymentSchedule[[#This Row],[PMT NO]]&lt;&gt;"",PaymentSchedule[[#This Row],[BEGINNING BALANCE]]*(InterestRate/PaymentsPerYear),"")</f>
        <v>21.147633430913569</v>
      </c>
      <c r="I3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8383.6402610979512</v>
      </c>
      <c r="J37" s="25">
        <f>IF(PaymentSchedule[[#This Row],[PMT NO]]&lt;&gt;"",SUM(INDEX(PaymentSchedule[INTEREST],1,1):PaymentSchedule[[#This Row],[INTEREST]]),"")</f>
        <v>507.9766444625252</v>
      </c>
    </row>
    <row r="38" spans="1:10" x14ac:dyDescent="0.3">
      <c r="A38" s="9">
        <f>IF(LoanIsGood,IF(ROW()-ROW(PaymentSchedule[[#Headers],[PMT NO]])&gt;ScheduledNumberOfPayments,"",ROW()-ROW(PaymentSchedule[[#Headers],[PMT NO]])),"")</f>
        <v>23</v>
      </c>
      <c r="B38" s="26">
        <f>IF(PaymentSchedule[[#This Row],[PMT NO]]&lt;&gt;"",EOMONTH(LoanStartDate,ROW(PaymentSchedule[[#This Row],[PMT NO]])-ROW(PaymentSchedule[[#Headers],[PMT NO]])-2)+DAY(LoanStartDate),"")</f>
        <v>45762</v>
      </c>
      <c r="C38" s="27">
        <f>IF(PaymentSchedule[[#This Row],[PMT NO]]&lt;&gt;"",IF(ROW()-ROW(PaymentSchedule[[#Headers],[BEGINNING BALANCE]])=1,LoanAmount,INDEX(PaymentSchedule[ENDING BALANCE],ROW()-ROW(PaymentSchedule[[#Headers],[BEGINNING BALANCE]])-1)),"")</f>
        <v>8383.6402610979512</v>
      </c>
      <c r="D38" s="27">
        <f>IF(PaymentSchedule[[#This Row],[PMT NO]]&lt;&gt;"",ScheduledPayment,"")</f>
        <v>96.560744698389513</v>
      </c>
      <c r="E38" s="27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8" s="27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8" s="27">
        <f>IF(PaymentSchedule[[#This Row],[PMT NO]]&lt;&gt;"",PaymentSchedule[[#This Row],[TOTAL PAYMENT]]-PaymentSchedule[[#This Row],[INTEREST]],"")</f>
        <v>75.601644045644633</v>
      </c>
      <c r="H38" s="27">
        <f>IF(PaymentSchedule[[#This Row],[PMT NO]]&lt;&gt;"",PaymentSchedule[[#This Row],[BEGINNING BALANCE]]*(InterestRate/PaymentsPerYear),"")</f>
        <v>20.95910065274488</v>
      </c>
      <c r="I38" s="27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8308.038617052307</v>
      </c>
      <c r="J38" s="27">
        <f>IF(PaymentSchedule[[#This Row],[PMT NO]]&lt;&gt;"",SUM(INDEX(PaymentSchedule[INTEREST],1,1):PaymentSchedule[[#This Row],[INTEREST]]),"")</f>
        <v>528.93574511527004</v>
      </c>
    </row>
    <row r="39" spans="1:10" x14ac:dyDescent="0.3">
      <c r="A39" s="4">
        <f>IF(LoanIsGood,IF(ROW()-ROW(PaymentSchedule[[#Headers],[PMT NO]])&gt;ScheduledNumberOfPayments,"",ROW()-ROW(PaymentSchedule[[#Headers],[PMT NO]])),"")</f>
        <v>24</v>
      </c>
      <c r="B39" s="24">
        <f>IF(PaymentSchedule[[#This Row],[PMT NO]]&lt;&gt;"",EOMONTH(LoanStartDate,ROW(PaymentSchedule[[#This Row],[PMT NO]])-ROW(PaymentSchedule[[#Headers],[PMT NO]])-2)+DAY(LoanStartDate),"")</f>
        <v>45792</v>
      </c>
      <c r="C39" s="25">
        <f>IF(PaymentSchedule[[#This Row],[PMT NO]]&lt;&gt;"",IF(ROW()-ROW(PaymentSchedule[[#Headers],[BEGINNING BALANCE]])=1,LoanAmount,INDEX(PaymentSchedule[ENDING BALANCE],ROW()-ROW(PaymentSchedule[[#Headers],[BEGINNING BALANCE]])-1)),"")</f>
        <v>8308.038617052307</v>
      </c>
      <c r="D39" s="25">
        <f>IF(PaymentSchedule[[#This Row],[PMT NO]]&lt;&gt;"",ScheduledPayment,"")</f>
        <v>96.560744698389513</v>
      </c>
      <c r="E3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3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39" s="25">
        <f>IF(PaymentSchedule[[#This Row],[PMT NO]]&lt;&gt;"",PaymentSchedule[[#This Row],[TOTAL PAYMENT]]-PaymentSchedule[[#This Row],[INTEREST]],"")</f>
        <v>75.790648155758745</v>
      </c>
      <c r="H39" s="25">
        <f>IF(PaymentSchedule[[#This Row],[PMT NO]]&lt;&gt;"",PaymentSchedule[[#This Row],[BEGINNING BALANCE]]*(InterestRate/PaymentsPerYear),"")</f>
        <v>20.770096542630768</v>
      </c>
      <c r="I3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8232.2479688965486</v>
      </c>
      <c r="J39" s="25">
        <f>IF(PaymentSchedule[[#This Row],[PMT NO]]&lt;&gt;"",SUM(INDEX(PaymentSchedule[INTEREST],1,1):PaymentSchedule[[#This Row],[INTEREST]]),"")</f>
        <v>549.70584165790081</v>
      </c>
    </row>
    <row r="40" spans="1:10" x14ac:dyDescent="0.3">
      <c r="A40" s="4">
        <f>IF(LoanIsGood,IF(ROW()-ROW(PaymentSchedule[[#Headers],[PMT NO]])&gt;ScheduledNumberOfPayments,"",ROW()-ROW(PaymentSchedule[[#Headers],[PMT NO]])),"")</f>
        <v>25</v>
      </c>
      <c r="B40" s="24">
        <f>IF(PaymentSchedule[[#This Row],[PMT NO]]&lt;&gt;"",EOMONTH(LoanStartDate,ROW(PaymentSchedule[[#This Row],[PMT NO]])-ROW(PaymentSchedule[[#Headers],[PMT NO]])-2)+DAY(LoanStartDate),"")</f>
        <v>45823</v>
      </c>
      <c r="C40" s="25">
        <f>IF(PaymentSchedule[[#This Row],[PMT NO]]&lt;&gt;"",IF(ROW()-ROW(PaymentSchedule[[#Headers],[BEGINNING BALANCE]])=1,LoanAmount,INDEX(PaymentSchedule[ENDING BALANCE],ROW()-ROW(PaymentSchedule[[#Headers],[BEGINNING BALANCE]])-1)),"")</f>
        <v>8232.2479688965486</v>
      </c>
      <c r="D40" s="25">
        <f>IF(PaymentSchedule[[#This Row],[PMT NO]]&lt;&gt;"",ScheduledPayment,"")</f>
        <v>96.560744698389513</v>
      </c>
      <c r="E4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0" s="25">
        <f>IF(PaymentSchedule[[#This Row],[PMT NO]]&lt;&gt;"",PaymentSchedule[[#This Row],[TOTAL PAYMENT]]-PaymentSchedule[[#This Row],[INTEREST]],"")</f>
        <v>75.980124776148145</v>
      </c>
      <c r="H40" s="25">
        <f>IF(PaymentSchedule[[#This Row],[PMT NO]]&lt;&gt;"",PaymentSchedule[[#This Row],[BEGINNING BALANCE]]*(InterestRate/PaymentsPerYear),"")</f>
        <v>20.580619922241372</v>
      </c>
      <c r="I4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8156.2678441204007</v>
      </c>
      <c r="J40" s="25">
        <f>IF(PaymentSchedule[[#This Row],[PMT NO]]&lt;&gt;"",SUM(INDEX(PaymentSchedule[INTEREST],1,1):PaymentSchedule[[#This Row],[INTEREST]]),"")</f>
        <v>570.28646158014215</v>
      </c>
    </row>
    <row r="41" spans="1:10" x14ac:dyDescent="0.3">
      <c r="A41" s="4">
        <f>IF(LoanIsGood,IF(ROW()-ROW(PaymentSchedule[[#Headers],[PMT NO]])&gt;ScheduledNumberOfPayments,"",ROW()-ROW(PaymentSchedule[[#Headers],[PMT NO]])),"")</f>
        <v>26</v>
      </c>
      <c r="B41" s="24">
        <f>IF(PaymentSchedule[[#This Row],[PMT NO]]&lt;&gt;"",EOMONTH(LoanStartDate,ROW(PaymentSchedule[[#This Row],[PMT NO]])-ROW(PaymentSchedule[[#Headers],[PMT NO]])-2)+DAY(LoanStartDate),"")</f>
        <v>45853</v>
      </c>
      <c r="C41" s="25">
        <f>IF(PaymentSchedule[[#This Row],[PMT NO]]&lt;&gt;"",IF(ROW()-ROW(PaymentSchedule[[#Headers],[BEGINNING BALANCE]])=1,LoanAmount,INDEX(PaymentSchedule[ENDING BALANCE],ROW()-ROW(PaymentSchedule[[#Headers],[BEGINNING BALANCE]])-1)),"")</f>
        <v>8156.2678441204007</v>
      </c>
      <c r="D41" s="25">
        <f>IF(PaymentSchedule[[#This Row],[PMT NO]]&lt;&gt;"",ScheduledPayment,"")</f>
        <v>96.560744698389513</v>
      </c>
      <c r="E4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1" s="25">
        <f>IF(PaymentSchedule[[#This Row],[PMT NO]]&lt;&gt;"",PaymentSchedule[[#This Row],[TOTAL PAYMENT]]-PaymentSchedule[[#This Row],[INTEREST]],"")</f>
        <v>76.17007508808851</v>
      </c>
      <c r="H41" s="25">
        <f>IF(PaymentSchedule[[#This Row],[PMT NO]]&lt;&gt;"",PaymentSchedule[[#This Row],[BEGINNING BALANCE]]*(InterestRate/PaymentsPerYear),"")</f>
        <v>20.390669610301003</v>
      </c>
      <c r="I4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8080.0977690323125</v>
      </c>
      <c r="J41" s="25">
        <f>IF(PaymentSchedule[[#This Row],[PMT NO]]&lt;&gt;"",SUM(INDEX(PaymentSchedule[INTEREST],1,1):PaymentSchedule[[#This Row],[INTEREST]]),"")</f>
        <v>590.67713119044311</v>
      </c>
    </row>
    <row r="42" spans="1:10" x14ac:dyDescent="0.3">
      <c r="A42" s="4">
        <f>IF(LoanIsGood,IF(ROW()-ROW(PaymentSchedule[[#Headers],[PMT NO]])&gt;ScheduledNumberOfPayments,"",ROW()-ROW(PaymentSchedule[[#Headers],[PMT NO]])),"")</f>
        <v>27</v>
      </c>
      <c r="B42" s="24">
        <f>IF(PaymentSchedule[[#This Row],[PMT NO]]&lt;&gt;"",EOMONTH(LoanStartDate,ROW(PaymentSchedule[[#This Row],[PMT NO]])-ROW(PaymentSchedule[[#Headers],[PMT NO]])-2)+DAY(LoanStartDate),"")</f>
        <v>45884</v>
      </c>
      <c r="C42" s="25">
        <f>IF(PaymentSchedule[[#This Row],[PMT NO]]&lt;&gt;"",IF(ROW()-ROW(PaymentSchedule[[#Headers],[BEGINNING BALANCE]])=1,LoanAmount,INDEX(PaymentSchedule[ENDING BALANCE],ROW()-ROW(PaymentSchedule[[#Headers],[BEGINNING BALANCE]])-1)),"")</f>
        <v>8080.0977690323125</v>
      </c>
      <c r="D42" s="25">
        <f>IF(PaymentSchedule[[#This Row],[PMT NO]]&lt;&gt;"",ScheduledPayment,"")</f>
        <v>96.560744698389513</v>
      </c>
      <c r="E4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2" s="25">
        <f>IF(PaymentSchedule[[#This Row],[PMT NO]]&lt;&gt;"",PaymentSchedule[[#This Row],[TOTAL PAYMENT]]-PaymentSchedule[[#This Row],[INTEREST]],"")</f>
        <v>76.360500275808732</v>
      </c>
      <c r="H42" s="25">
        <f>IF(PaymentSchedule[[#This Row],[PMT NO]]&lt;&gt;"",PaymentSchedule[[#This Row],[BEGINNING BALANCE]]*(InterestRate/PaymentsPerYear),"")</f>
        <v>20.200244422580781</v>
      </c>
      <c r="I4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8003.7372687565039</v>
      </c>
      <c r="J42" s="25">
        <f>IF(PaymentSchedule[[#This Row],[PMT NO]]&lt;&gt;"",SUM(INDEX(PaymentSchedule[INTEREST],1,1):PaymentSchedule[[#This Row],[INTEREST]]),"")</f>
        <v>610.8773756130239</v>
      </c>
    </row>
    <row r="43" spans="1:10" x14ac:dyDescent="0.3">
      <c r="A43" s="4">
        <f>IF(LoanIsGood,IF(ROW()-ROW(PaymentSchedule[[#Headers],[PMT NO]])&gt;ScheduledNumberOfPayments,"",ROW()-ROW(PaymentSchedule[[#Headers],[PMT NO]])),"")</f>
        <v>28</v>
      </c>
      <c r="B43" s="24">
        <f>IF(PaymentSchedule[[#This Row],[PMT NO]]&lt;&gt;"",EOMONTH(LoanStartDate,ROW(PaymentSchedule[[#This Row],[PMT NO]])-ROW(PaymentSchedule[[#Headers],[PMT NO]])-2)+DAY(LoanStartDate),"")</f>
        <v>45915</v>
      </c>
      <c r="C43" s="25">
        <f>IF(PaymentSchedule[[#This Row],[PMT NO]]&lt;&gt;"",IF(ROW()-ROW(PaymentSchedule[[#Headers],[BEGINNING BALANCE]])=1,LoanAmount,INDEX(PaymentSchedule[ENDING BALANCE],ROW()-ROW(PaymentSchedule[[#Headers],[BEGINNING BALANCE]])-1)),"")</f>
        <v>8003.7372687565039</v>
      </c>
      <c r="D43" s="25">
        <f>IF(PaymentSchedule[[#This Row],[PMT NO]]&lt;&gt;"",ScheduledPayment,"")</f>
        <v>96.560744698389513</v>
      </c>
      <c r="E4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3" s="25">
        <f>IF(PaymentSchedule[[#This Row],[PMT NO]]&lt;&gt;"",PaymentSchedule[[#This Row],[TOTAL PAYMENT]]-PaymentSchedule[[#This Row],[INTEREST]],"")</f>
        <v>76.551401526498253</v>
      </c>
      <c r="H43" s="25">
        <f>IF(PaymentSchedule[[#This Row],[PMT NO]]&lt;&gt;"",PaymentSchedule[[#This Row],[BEGINNING BALANCE]]*(InterestRate/PaymentsPerYear),"")</f>
        <v>20.00934317189126</v>
      </c>
      <c r="I4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7927.1858672300059</v>
      </c>
      <c r="J43" s="25">
        <f>IF(PaymentSchedule[[#This Row],[PMT NO]]&lt;&gt;"",SUM(INDEX(PaymentSchedule[INTEREST],1,1):PaymentSchedule[[#This Row],[INTEREST]]),"")</f>
        <v>630.88671878491516</v>
      </c>
    </row>
    <row r="44" spans="1:10" x14ac:dyDescent="0.3">
      <c r="A44" s="4">
        <f>IF(LoanIsGood,IF(ROW()-ROW(PaymentSchedule[[#Headers],[PMT NO]])&gt;ScheduledNumberOfPayments,"",ROW()-ROW(PaymentSchedule[[#Headers],[PMT NO]])),"")</f>
        <v>29</v>
      </c>
      <c r="B44" s="24">
        <f>IF(PaymentSchedule[[#This Row],[PMT NO]]&lt;&gt;"",EOMONTH(LoanStartDate,ROW(PaymentSchedule[[#This Row],[PMT NO]])-ROW(PaymentSchedule[[#Headers],[PMT NO]])-2)+DAY(LoanStartDate),"")</f>
        <v>45945</v>
      </c>
      <c r="C44" s="25">
        <f>IF(PaymentSchedule[[#This Row],[PMT NO]]&lt;&gt;"",IF(ROW()-ROW(PaymentSchedule[[#Headers],[BEGINNING BALANCE]])=1,LoanAmount,INDEX(PaymentSchedule[ENDING BALANCE],ROW()-ROW(PaymentSchedule[[#Headers],[BEGINNING BALANCE]])-1)),"")</f>
        <v>7927.1858672300059</v>
      </c>
      <c r="D44" s="25">
        <f>IF(PaymentSchedule[[#This Row],[PMT NO]]&lt;&gt;"",ScheduledPayment,"")</f>
        <v>96.560744698389513</v>
      </c>
      <c r="E4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4" s="25">
        <f>IF(PaymentSchedule[[#This Row],[PMT NO]]&lt;&gt;"",PaymentSchedule[[#This Row],[TOTAL PAYMENT]]-PaymentSchedule[[#This Row],[INTEREST]],"")</f>
        <v>76.742780030314492</v>
      </c>
      <c r="H44" s="25">
        <f>IF(PaymentSchedule[[#This Row],[PMT NO]]&lt;&gt;"",PaymentSchedule[[#This Row],[BEGINNING BALANCE]]*(InterestRate/PaymentsPerYear),"")</f>
        <v>19.817964668075014</v>
      </c>
      <c r="I4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7850.443087199691</v>
      </c>
      <c r="J44" s="25">
        <f>IF(PaymentSchedule[[#This Row],[PMT NO]]&lt;&gt;"",SUM(INDEX(PaymentSchedule[INTEREST],1,1):PaymentSchedule[[#This Row],[INTEREST]]),"")</f>
        <v>650.70468345299014</v>
      </c>
    </row>
    <row r="45" spans="1:10" x14ac:dyDescent="0.3">
      <c r="A45" s="4">
        <f>IF(LoanIsGood,IF(ROW()-ROW(PaymentSchedule[[#Headers],[PMT NO]])&gt;ScheduledNumberOfPayments,"",ROW()-ROW(PaymentSchedule[[#Headers],[PMT NO]])),"")</f>
        <v>30</v>
      </c>
      <c r="B45" s="24">
        <f>IF(PaymentSchedule[[#This Row],[PMT NO]]&lt;&gt;"",EOMONTH(LoanStartDate,ROW(PaymentSchedule[[#This Row],[PMT NO]])-ROW(PaymentSchedule[[#Headers],[PMT NO]])-2)+DAY(LoanStartDate),"")</f>
        <v>45976</v>
      </c>
      <c r="C45" s="25">
        <f>IF(PaymentSchedule[[#This Row],[PMT NO]]&lt;&gt;"",IF(ROW()-ROW(PaymentSchedule[[#Headers],[BEGINNING BALANCE]])=1,LoanAmount,INDEX(PaymentSchedule[ENDING BALANCE],ROW()-ROW(PaymentSchedule[[#Headers],[BEGINNING BALANCE]])-1)),"")</f>
        <v>7850.443087199691</v>
      </c>
      <c r="D45" s="25">
        <f>IF(PaymentSchedule[[#This Row],[PMT NO]]&lt;&gt;"",ScheduledPayment,"")</f>
        <v>96.560744698389513</v>
      </c>
      <c r="E45" s="25">
        <v>0</v>
      </c>
      <c r="F4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5" s="25">
        <f>IF(PaymentSchedule[[#This Row],[PMT NO]]&lt;&gt;"",PaymentSchedule[[#This Row],[TOTAL PAYMENT]]-PaymentSchedule[[#This Row],[INTEREST]],"")</f>
        <v>76.93463698039028</v>
      </c>
      <c r="H45" s="25">
        <f>IF(PaymentSchedule[[#This Row],[PMT NO]]&lt;&gt;"",PaymentSchedule[[#This Row],[BEGINNING BALANCE]]*(InterestRate/PaymentsPerYear),"")</f>
        <v>19.626107717999229</v>
      </c>
      <c r="I4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7773.5084502193004</v>
      </c>
      <c r="J45" s="25">
        <f>IF(PaymentSchedule[[#This Row],[PMT NO]]&lt;&gt;"",SUM(INDEX(PaymentSchedule[INTEREST],1,1):PaymentSchedule[[#This Row],[INTEREST]]),"")</f>
        <v>670.33079117098941</v>
      </c>
    </row>
    <row r="46" spans="1:10" x14ac:dyDescent="0.3">
      <c r="A46" s="4">
        <f>IF(LoanIsGood,IF(ROW()-ROW(PaymentSchedule[[#Headers],[PMT NO]])&gt;ScheduledNumberOfPayments,"",ROW()-ROW(PaymentSchedule[[#Headers],[PMT NO]])),"")</f>
        <v>31</v>
      </c>
      <c r="B46" s="24">
        <f>IF(PaymentSchedule[[#This Row],[PMT NO]]&lt;&gt;"",EOMONTH(LoanStartDate,ROW(PaymentSchedule[[#This Row],[PMT NO]])-ROW(PaymentSchedule[[#Headers],[PMT NO]])-2)+DAY(LoanStartDate),"")</f>
        <v>46006</v>
      </c>
      <c r="C46" s="25">
        <f>IF(PaymentSchedule[[#This Row],[PMT NO]]&lt;&gt;"",IF(ROW()-ROW(PaymentSchedule[[#Headers],[BEGINNING BALANCE]])=1,LoanAmount,INDEX(PaymentSchedule[ENDING BALANCE],ROW()-ROW(PaymentSchedule[[#Headers],[BEGINNING BALANCE]])-1)),"")</f>
        <v>7773.5084502193004</v>
      </c>
      <c r="D46" s="25">
        <f>IF(PaymentSchedule[[#This Row],[PMT NO]]&lt;&gt;"",ScheduledPayment,"")</f>
        <v>96.560744698389513</v>
      </c>
      <c r="E4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6" s="25">
        <f>IF(PaymentSchedule[[#This Row],[PMT NO]]&lt;&gt;"",PaymentSchedule[[#This Row],[TOTAL PAYMENT]]-PaymentSchedule[[#This Row],[INTEREST]],"")</f>
        <v>77.126973572841266</v>
      </c>
      <c r="H46" s="25">
        <f>IF(PaymentSchedule[[#This Row],[PMT NO]]&lt;&gt;"",PaymentSchedule[[#This Row],[BEGINNING BALANCE]]*(InterestRate/PaymentsPerYear),"")</f>
        <v>19.433771125548251</v>
      </c>
      <c r="I4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7696.3814766464593</v>
      </c>
      <c r="J46" s="25">
        <f>IF(PaymentSchedule[[#This Row],[PMT NO]]&lt;&gt;"",SUM(INDEX(PaymentSchedule[INTEREST],1,1):PaymentSchedule[[#This Row],[INTEREST]]),"")</f>
        <v>689.76456229653763</v>
      </c>
    </row>
    <row r="47" spans="1:10" x14ac:dyDescent="0.3">
      <c r="A47" s="4">
        <f>IF(LoanIsGood,IF(ROW()-ROW(PaymentSchedule[[#Headers],[PMT NO]])&gt;ScheduledNumberOfPayments,"",ROW()-ROW(PaymentSchedule[[#Headers],[PMT NO]])),"")</f>
        <v>32</v>
      </c>
      <c r="B47" s="24">
        <f>IF(PaymentSchedule[[#This Row],[PMT NO]]&lt;&gt;"",EOMONTH(LoanStartDate,ROW(PaymentSchedule[[#This Row],[PMT NO]])-ROW(PaymentSchedule[[#Headers],[PMT NO]])-2)+DAY(LoanStartDate),"")</f>
        <v>46037</v>
      </c>
      <c r="C47" s="25">
        <f>IF(PaymentSchedule[[#This Row],[PMT NO]]&lt;&gt;"",IF(ROW()-ROW(PaymentSchedule[[#Headers],[BEGINNING BALANCE]])=1,LoanAmount,INDEX(PaymentSchedule[ENDING BALANCE],ROW()-ROW(PaymentSchedule[[#Headers],[BEGINNING BALANCE]])-1)),"")</f>
        <v>7696.3814766464593</v>
      </c>
      <c r="D47" s="25">
        <f>IF(PaymentSchedule[[#This Row],[PMT NO]]&lt;&gt;"",ScheduledPayment,"")</f>
        <v>96.560744698389513</v>
      </c>
      <c r="E4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7" s="25">
        <f>IF(PaymentSchedule[[#This Row],[PMT NO]]&lt;&gt;"",PaymentSchedule[[#This Row],[TOTAL PAYMENT]]-PaymentSchedule[[#This Row],[INTEREST]],"")</f>
        <v>77.319791006773357</v>
      </c>
      <c r="H47" s="25">
        <f>IF(PaymentSchedule[[#This Row],[PMT NO]]&lt;&gt;"",PaymentSchedule[[#This Row],[BEGINNING BALANCE]]*(InterestRate/PaymentsPerYear),"")</f>
        <v>19.240953691616149</v>
      </c>
      <c r="I4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7619.0616856396864</v>
      </c>
      <c r="J47" s="25">
        <f>IF(PaymentSchedule[[#This Row],[PMT NO]]&lt;&gt;"",SUM(INDEX(PaymentSchedule[INTEREST],1,1):PaymentSchedule[[#This Row],[INTEREST]]),"")</f>
        <v>709.00551598815377</v>
      </c>
    </row>
    <row r="48" spans="1:10" x14ac:dyDescent="0.3">
      <c r="A48" s="4">
        <f>IF(LoanIsGood,IF(ROW()-ROW(PaymentSchedule[[#Headers],[PMT NO]])&gt;ScheduledNumberOfPayments,"",ROW()-ROW(PaymentSchedule[[#Headers],[PMT NO]])),"")</f>
        <v>33</v>
      </c>
      <c r="B48" s="24">
        <f>IF(PaymentSchedule[[#This Row],[PMT NO]]&lt;&gt;"",EOMONTH(LoanStartDate,ROW(PaymentSchedule[[#This Row],[PMT NO]])-ROW(PaymentSchedule[[#Headers],[PMT NO]])-2)+DAY(LoanStartDate),"")</f>
        <v>46068</v>
      </c>
      <c r="C48" s="25">
        <f>IF(PaymentSchedule[[#This Row],[PMT NO]]&lt;&gt;"",IF(ROW()-ROW(PaymentSchedule[[#Headers],[BEGINNING BALANCE]])=1,LoanAmount,INDEX(PaymentSchedule[ENDING BALANCE],ROW()-ROW(PaymentSchedule[[#Headers],[BEGINNING BALANCE]])-1)),"")</f>
        <v>7619.0616856396864</v>
      </c>
      <c r="D48" s="25">
        <f>IF(PaymentSchedule[[#This Row],[PMT NO]]&lt;&gt;"",ScheduledPayment,"")</f>
        <v>96.560744698389513</v>
      </c>
      <c r="E4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8" s="25">
        <f>IF(PaymentSchedule[[#This Row],[PMT NO]]&lt;&gt;"",PaymentSchedule[[#This Row],[TOTAL PAYMENT]]-PaymentSchedule[[#This Row],[INTEREST]],"")</f>
        <v>77.513090484290302</v>
      </c>
      <c r="H48" s="25">
        <f>IF(PaymentSchedule[[#This Row],[PMT NO]]&lt;&gt;"",PaymentSchedule[[#This Row],[BEGINNING BALANCE]]*(InterestRate/PaymentsPerYear),"")</f>
        <v>19.047654214099218</v>
      </c>
      <c r="I4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7541.5485951553965</v>
      </c>
      <c r="J48" s="25">
        <f>IF(PaymentSchedule[[#This Row],[PMT NO]]&lt;&gt;"",SUM(INDEX(PaymentSchedule[INTEREST],1,1):PaymentSchedule[[#This Row],[INTEREST]]),"")</f>
        <v>728.053170202253</v>
      </c>
    </row>
    <row r="49" spans="1:10" x14ac:dyDescent="0.3">
      <c r="A49" s="4">
        <f>IF(LoanIsGood,IF(ROW()-ROW(PaymentSchedule[[#Headers],[PMT NO]])&gt;ScheduledNumberOfPayments,"",ROW()-ROW(PaymentSchedule[[#Headers],[PMT NO]])),"")</f>
        <v>34</v>
      </c>
      <c r="B49" s="24">
        <f>IF(PaymentSchedule[[#This Row],[PMT NO]]&lt;&gt;"",EOMONTH(LoanStartDate,ROW(PaymentSchedule[[#This Row],[PMT NO]])-ROW(PaymentSchedule[[#Headers],[PMT NO]])-2)+DAY(LoanStartDate),"")</f>
        <v>46096</v>
      </c>
      <c r="C49" s="25">
        <f>IF(PaymentSchedule[[#This Row],[PMT NO]]&lt;&gt;"",IF(ROW()-ROW(PaymentSchedule[[#Headers],[BEGINNING BALANCE]])=1,LoanAmount,INDEX(PaymentSchedule[ENDING BALANCE],ROW()-ROW(PaymentSchedule[[#Headers],[BEGINNING BALANCE]])-1)),"")</f>
        <v>7541.5485951553965</v>
      </c>
      <c r="D49" s="25">
        <f>IF(PaymentSchedule[[#This Row],[PMT NO]]&lt;&gt;"",ScheduledPayment,"")</f>
        <v>96.560744698389513</v>
      </c>
      <c r="E4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4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49" s="25">
        <f>IF(PaymentSchedule[[#This Row],[PMT NO]]&lt;&gt;"",PaymentSchedule[[#This Row],[TOTAL PAYMENT]]-PaymentSchedule[[#This Row],[INTEREST]],"")</f>
        <v>77.706873210501016</v>
      </c>
      <c r="H49" s="25">
        <f>IF(PaymentSchedule[[#This Row],[PMT NO]]&lt;&gt;"",PaymentSchedule[[#This Row],[BEGINNING BALANCE]]*(InterestRate/PaymentsPerYear),"")</f>
        <v>18.85387148788849</v>
      </c>
      <c r="I4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7463.8417219448957</v>
      </c>
      <c r="J49" s="25">
        <f>IF(PaymentSchedule[[#This Row],[PMT NO]]&lt;&gt;"",SUM(INDEX(PaymentSchedule[INTEREST],1,1):PaymentSchedule[[#This Row],[INTEREST]]),"")</f>
        <v>746.90704169014145</v>
      </c>
    </row>
    <row r="50" spans="1:10" x14ac:dyDescent="0.3">
      <c r="A50" s="4">
        <f>IF(LoanIsGood,IF(ROW()-ROW(PaymentSchedule[[#Headers],[PMT NO]])&gt;ScheduledNumberOfPayments,"",ROW()-ROW(PaymentSchedule[[#Headers],[PMT NO]])),"")</f>
        <v>35</v>
      </c>
      <c r="B50" s="24">
        <f>IF(PaymentSchedule[[#This Row],[PMT NO]]&lt;&gt;"",EOMONTH(LoanStartDate,ROW(PaymentSchedule[[#This Row],[PMT NO]])-ROW(PaymentSchedule[[#Headers],[PMT NO]])-2)+DAY(LoanStartDate),"")</f>
        <v>46127</v>
      </c>
      <c r="C50" s="25">
        <f>IF(PaymentSchedule[[#This Row],[PMT NO]]&lt;&gt;"",IF(ROW()-ROW(PaymentSchedule[[#Headers],[BEGINNING BALANCE]])=1,LoanAmount,INDEX(PaymentSchedule[ENDING BALANCE],ROW()-ROW(PaymentSchedule[[#Headers],[BEGINNING BALANCE]])-1)),"")</f>
        <v>7463.8417219448957</v>
      </c>
      <c r="D50" s="25">
        <f>IF(PaymentSchedule[[#This Row],[PMT NO]]&lt;&gt;"",ScheduledPayment,"")</f>
        <v>96.560744698389513</v>
      </c>
      <c r="E5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0" s="25">
        <f>IF(PaymentSchedule[[#This Row],[PMT NO]]&lt;&gt;"",PaymentSchedule[[#This Row],[TOTAL PAYMENT]]-PaymentSchedule[[#This Row],[INTEREST]],"")</f>
        <v>77.901140393527271</v>
      </c>
      <c r="H50" s="25">
        <f>IF(PaymentSchedule[[#This Row],[PMT NO]]&lt;&gt;"",PaymentSchedule[[#This Row],[BEGINNING BALANCE]]*(InterestRate/PaymentsPerYear),"")</f>
        <v>18.659604304862238</v>
      </c>
      <c r="I5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7385.9405815513683</v>
      </c>
      <c r="J50" s="25">
        <f>IF(PaymentSchedule[[#This Row],[PMT NO]]&lt;&gt;"",SUM(INDEX(PaymentSchedule[INTEREST],1,1):PaymentSchedule[[#This Row],[INTEREST]]),"")</f>
        <v>765.56664599500368</v>
      </c>
    </row>
    <row r="51" spans="1:10" x14ac:dyDescent="0.3">
      <c r="A51" s="4">
        <f>IF(LoanIsGood,IF(ROW()-ROW(PaymentSchedule[[#Headers],[PMT NO]])&gt;ScheduledNumberOfPayments,"",ROW()-ROW(PaymentSchedule[[#Headers],[PMT NO]])),"")</f>
        <v>36</v>
      </c>
      <c r="B51" s="24">
        <f>IF(PaymentSchedule[[#This Row],[PMT NO]]&lt;&gt;"",EOMONTH(LoanStartDate,ROW(PaymentSchedule[[#This Row],[PMT NO]])-ROW(PaymentSchedule[[#Headers],[PMT NO]])-2)+DAY(LoanStartDate),"")</f>
        <v>46157</v>
      </c>
      <c r="C51" s="25">
        <f>IF(PaymentSchedule[[#This Row],[PMT NO]]&lt;&gt;"",IF(ROW()-ROW(PaymentSchedule[[#Headers],[BEGINNING BALANCE]])=1,LoanAmount,INDEX(PaymentSchedule[ENDING BALANCE],ROW()-ROW(PaymentSchedule[[#Headers],[BEGINNING BALANCE]])-1)),"")</f>
        <v>7385.9405815513683</v>
      </c>
      <c r="D51" s="25">
        <f>IF(PaymentSchedule[[#This Row],[PMT NO]]&lt;&gt;"",ScheduledPayment,"")</f>
        <v>96.560744698389513</v>
      </c>
      <c r="E5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1" s="25">
        <f>IF(PaymentSchedule[[#This Row],[PMT NO]]&lt;&gt;"",PaymentSchedule[[#This Row],[TOTAL PAYMENT]]-PaymentSchedule[[#This Row],[INTEREST]],"")</f>
        <v>78.095893244511089</v>
      </c>
      <c r="H51" s="25">
        <f>IF(PaymentSchedule[[#This Row],[PMT NO]]&lt;&gt;"",PaymentSchedule[[#This Row],[BEGINNING BALANCE]]*(InterestRate/PaymentsPerYear),"")</f>
        <v>18.464851453878421</v>
      </c>
      <c r="I5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7307.8446883068573</v>
      </c>
      <c r="J51" s="25">
        <f>IF(PaymentSchedule[[#This Row],[PMT NO]]&lt;&gt;"",SUM(INDEX(PaymentSchedule[INTEREST],1,1):PaymentSchedule[[#This Row],[INTEREST]]),"")</f>
        <v>784.03149744888208</v>
      </c>
    </row>
    <row r="52" spans="1:10" x14ac:dyDescent="0.3">
      <c r="A52" s="4">
        <f>IF(LoanIsGood,IF(ROW()-ROW(PaymentSchedule[[#Headers],[PMT NO]])&gt;ScheduledNumberOfPayments,"",ROW()-ROW(PaymentSchedule[[#Headers],[PMT NO]])),"")</f>
        <v>37</v>
      </c>
      <c r="B52" s="24">
        <f>IF(PaymentSchedule[[#This Row],[PMT NO]]&lt;&gt;"",EOMONTH(LoanStartDate,ROW(PaymentSchedule[[#This Row],[PMT NO]])-ROW(PaymentSchedule[[#Headers],[PMT NO]])-2)+DAY(LoanStartDate),"")</f>
        <v>46188</v>
      </c>
      <c r="C52" s="25">
        <f>IF(PaymentSchedule[[#This Row],[PMT NO]]&lt;&gt;"",IF(ROW()-ROW(PaymentSchedule[[#Headers],[BEGINNING BALANCE]])=1,LoanAmount,INDEX(PaymentSchedule[ENDING BALANCE],ROW()-ROW(PaymentSchedule[[#Headers],[BEGINNING BALANCE]])-1)),"")</f>
        <v>7307.8446883068573</v>
      </c>
      <c r="D52" s="25">
        <f>IF(PaymentSchedule[[#This Row],[PMT NO]]&lt;&gt;"",ScheduledPayment,"")</f>
        <v>96.560744698389513</v>
      </c>
      <c r="E5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2" s="25">
        <f>IF(PaymentSchedule[[#This Row],[PMT NO]]&lt;&gt;"",PaymentSchedule[[#This Row],[TOTAL PAYMENT]]-PaymentSchedule[[#This Row],[INTEREST]],"")</f>
        <v>78.291132977622368</v>
      </c>
      <c r="H52" s="25">
        <f>IF(PaymentSchedule[[#This Row],[PMT NO]]&lt;&gt;"",PaymentSchedule[[#This Row],[BEGINNING BALANCE]]*(InterestRate/PaymentsPerYear),"")</f>
        <v>18.269611720767145</v>
      </c>
      <c r="I5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7229.5535553292348</v>
      </c>
      <c r="J52" s="25">
        <f>IF(PaymentSchedule[[#This Row],[PMT NO]]&lt;&gt;"",SUM(INDEX(PaymentSchedule[INTEREST],1,1):PaymentSchedule[[#This Row],[INTEREST]]),"")</f>
        <v>802.30110916964918</v>
      </c>
    </row>
    <row r="53" spans="1:10" x14ac:dyDescent="0.3">
      <c r="A53" s="4">
        <f>IF(LoanIsGood,IF(ROW()-ROW(PaymentSchedule[[#Headers],[PMT NO]])&gt;ScheduledNumberOfPayments,"",ROW()-ROW(PaymentSchedule[[#Headers],[PMT NO]])),"")</f>
        <v>38</v>
      </c>
      <c r="B53" s="24">
        <f>IF(PaymentSchedule[[#This Row],[PMT NO]]&lt;&gt;"",EOMONTH(LoanStartDate,ROW(PaymentSchedule[[#This Row],[PMT NO]])-ROW(PaymentSchedule[[#Headers],[PMT NO]])-2)+DAY(LoanStartDate),"")</f>
        <v>46218</v>
      </c>
      <c r="C53" s="25">
        <f>IF(PaymentSchedule[[#This Row],[PMT NO]]&lt;&gt;"",IF(ROW()-ROW(PaymentSchedule[[#Headers],[BEGINNING BALANCE]])=1,LoanAmount,INDEX(PaymentSchedule[ENDING BALANCE],ROW()-ROW(PaymentSchedule[[#Headers],[BEGINNING BALANCE]])-1)),"")</f>
        <v>7229.5535553292348</v>
      </c>
      <c r="D53" s="25">
        <f>IF(PaymentSchedule[[#This Row],[PMT NO]]&lt;&gt;"",ScheduledPayment,"")</f>
        <v>96.560744698389513</v>
      </c>
      <c r="E5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3" s="25">
        <f>IF(PaymentSchedule[[#This Row],[PMT NO]]&lt;&gt;"",PaymentSchedule[[#This Row],[TOTAL PAYMENT]]-PaymentSchedule[[#This Row],[INTEREST]],"")</f>
        <v>78.486860810066418</v>
      </c>
      <c r="H53" s="25">
        <f>IF(PaymentSchedule[[#This Row],[PMT NO]]&lt;&gt;"",PaymentSchedule[[#This Row],[BEGINNING BALANCE]]*(InterestRate/PaymentsPerYear),"")</f>
        <v>18.073883888323088</v>
      </c>
      <c r="I5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7151.0666945191688</v>
      </c>
      <c r="J53" s="25">
        <f>IF(PaymentSchedule[[#This Row],[PMT NO]]&lt;&gt;"",SUM(INDEX(PaymentSchedule[INTEREST],1,1):PaymentSchedule[[#This Row],[INTEREST]]),"")</f>
        <v>820.37499305797223</v>
      </c>
    </row>
    <row r="54" spans="1:10" x14ac:dyDescent="0.3">
      <c r="A54" s="4">
        <f>IF(LoanIsGood,IF(ROW()-ROW(PaymentSchedule[[#Headers],[PMT NO]])&gt;ScheduledNumberOfPayments,"",ROW()-ROW(PaymentSchedule[[#Headers],[PMT NO]])),"")</f>
        <v>39</v>
      </c>
      <c r="B54" s="24">
        <f>IF(PaymentSchedule[[#This Row],[PMT NO]]&lt;&gt;"",EOMONTH(LoanStartDate,ROW(PaymentSchedule[[#This Row],[PMT NO]])-ROW(PaymentSchedule[[#Headers],[PMT NO]])-2)+DAY(LoanStartDate),"")</f>
        <v>46249</v>
      </c>
      <c r="C54" s="25">
        <f>IF(PaymentSchedule[[#This Row],[PMT NO]]&lt;&gt;"",IF(ROW()-ROW(PaymentSchedule[[#Headers],[BEGINNING BALANCE]])=1,LoanAmount,INDEX(PaymentSchedule[ENDING BALANCE],ROW()-ROW(PaymentSchedule[[#Headers],[BEGINNING BALANCE]])-1)),"")</f>
        <v>7151.0666945191688</v>
      </c>
      <c r="D54" s="25">
        <f>IF(PaymentSchedule[[#This Row],[PMT NO]]&lt;&gt;"",ScheduledPayment,"")</f>
        <v>96.560744698389513</v>
      </c>
      <c r="E5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4" s="25">
        <f>IF(PaymentSchedule[[#This Row],[PMT NO]]&lt;&gt;"",PaymentSchedule[[#This Row],[TOTAL PAYMENT]]-PaymentSchedule[[#This Row],[INTEREST]],"")</f>
        <v>78.683077962091588</v>
      </c>
      <c r="H54" s="25">
        <f>IF(PaymentSchedule[[#This Row],[PMT NO]]&lt;&gt;"",PaymentSchedule[[#This Row],[BEGINNING BALANCE]]*(InterestRate/PaymentsPerYear),"")</f>
        <v>17.877666736297922</v>
      </c>
      <c r="I5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7072.3836165570774</v>
      </c>
      <c r="J54" s="25">
        <f>IF(PaymentSchedule[[#This Row],[PMT NO]]&lt;&gt;"",SUM(INDEX(PaymentSchedule[INTEREST],1,1):PaymentSchedule[[#This Row],[INTEREST]]),"")</f>
        <v>838.25265979427013</v>
      </c>
    </row>
    <row r="55" spans="1:10" x14ac:dyDescent="0.3">
      <c r="A55" s="4">
        <f>IF(LoanIsGood,IF(ROW()-ROW(PaymentSchedule[[#Headers],[PMT NO]])&gt;ScheduledNumberOfPayments,"",ROW()-ROW(PaymentSchedule[[#Headers],[PMT NO]])),"")</f>
        <v>40</v>
      </c>
      <c r="B55" s="24">
        <f>IF(PaymentSchedule[[#This Row],[PMT NO]]&lt;&gt;"",EOMONTH(LoanStartDate,ROW(PaymentSchedule[[#This Row],[PMT NO]])-ROW(PaymentSchedule[[#Headers],[PMT NO]])-2)+DAY(LoanStartDate),"")</f>
        <v>46280</v>
      </c>
      <c r="C55" s="25">
        <f>IF(PaymentSchedule[[#This Row],[PMT NO]]&lt;&gt;"",IF(ROW()-ROW(PaymentSchedule[[#Headers],[BEGINNING BALANCE]])=1,LoanAmount,INDEX(PaymentSchedule[ENDING BALANCE],ROW()-ROW(PaymentSchedule[[#Headers],[BEGINNING BALANCE]])-1)),"")</f>
        <v>7072.3836165570774</v>
      </c>
      <c r="D55" s="25">
        <f>IF(PaymentSchedule[[#This Row],[PMT NO]]&lt;&gt;"",ScheduledPayment,"")</f>
        <v>96.560744698389513</v>
      </c>
      <c r="E5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5" s="25">
        <f>IF(PaymentSchedule[[#This Row],[PMT NO]]&lt;&gt;"",PaymentSchedule[[#This Row],[TOTAL PAYMENT]]-PaymentSchedule[[#This Row],[INTEREST]],"")</f>
        <v>78.879785656996816</v>
      </c>
      <c r="H55" s="25">
        <f>IF(PaymentSchedule[[#This Row],[PMT NO]]&lt;&gt;"",PaymentSchedule[[#This Row],[BEGINNING BALANCE]]*(InterestRate/PaymentsPerYear),"")</f>
        <v>17.680959041392693</v>
      </c>
      <c r="I5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6993.5038309000802</v>
      </c>
      <c r="J55" s="25">
        <f>IF(PaymentSchedule[[#This Row],[PMT NO]]&lt;&gt;"",SUM(INDEX(PaymentSchedule[INTEREST],1,1):PaymentSchedule[[#This Row],[INTEREST]]),"")</f>
        <v>855.93361883566286</v>
      </c>
    </row>
    <row r="56" spans="1:10" x14ac:dyDescent="0.3">
      <c r="A56" s="4">
        <f>IF(LoanIsGood,IF(ROW()-ROW(PaymentSchedule[[#Headers],[PMT NO]])&gt;ScheduledNumberOfPayments,"",ROW()-ROW(PaymentSchedule[[#Headers],[PMT NO]])),"")</f>
        <v>41</v>
      </c>
      <c r="B56" s="24">
        <f>IF(PaymentSchedule[[#This Row],[PMT NO]]&lt;&gt;"",EOMONTH(LoanStartDate,ROW(PaymentSchedule[[#This Row],[PMT NO]])-ROW(PaymentSchedule[[#Headers],[PMT NO]])-2)+DAY(LoanStartDate),"")</f>
        <v>46310</v>
      </c>
      <c r="C56" s="25">
        <f>IF(PaymentSchedule[[#This Row],[PMT NO]]&lt;&gt;"",IF(ROW()-ROW(PaymentSchedule[[#Headers],[BEGINNING BALANCE]])=1,LoanAmount,INDEX(PaymentSchedule[ENDING BALANCE],ROW()-ROW(PaymentSchedule[[#Headers],[BEGINNING BALANCE]])-1)),"")</f>
        <v>6993.5038309000802</v>
      </c>
      <c r="D56" s="25">
        <f>IF(PaymentSchedule[[#This Row],[PMT NO]]&lt;&gt;"",ScheduledPayment,"")</f>
        <v>96.560744698389513</v>
      </c>
      <c r="E5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6" s="25">
        <f>IF(PaymentSchedule[[#This Row],[PMT NO]]&lt;&gt;"",PaymentSchedule[[#This Row],[TOTAL PAYMENT]]-PaymentSchedule[[#This Row],[INTEREST]],"")</f>
        <v>79.076985121139316</v>
      </c>
      <c r="H56" s="25">
        <f>IF(PaymentSchedule[[#This Row],[PMT NO]]&lt;&gt;"",PaymentSchedule[[#This Row],[BEGINNING BALANCE]]*(InterestRate/PaymentsPerYear),"")</f>
        <v>17.483759577250201</v>
      </c>
      <c r="I5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6914.4268457789412</v>
      </c>
      <c r="J56" s="25">
        <f>IF(PaymentSchedule[[#This Row],[PMT NO]]&lt;&gt;"",SUM(INDEX(PaymentSchedule[INTEREST],1,1):PaymentSchedule[[#This Row],[INTEREST]]),"")</f>
        <v>873.41737841291308</v>
      </c>
    </row>
    <row r="57" spans="1:10" x14ac:dyDescent="0.3">
      <c r="A57" s="4">
        <f>IF(LoanIsGood,IF(ROW()-ROW(PaymentSchedule[[#Headers],[PMT NO]])&gt;ScheduledNumberOfPayments,"",ROW()-ROW(PaymentSchedule[[#Headers],[PMT NO]])),"")</f>
        <v>42</v>
      </c>
      <c r="B57" s="24">
        <f>IF(PaymentSchedule[[#This Row],[PMT NO]]&lt;&gt;"",EOMONTH(LoanStartDate,ROW(PaymentSchedule[[#This Row],[PMT NO]])-ROW(PaymentSchedule[[#Headers],[PMT NO]])-2)+DAY(LoanStartDate),"")</f>
        <v>46341</v>
      </c>
      <c r="C57" s="25">
        <f>IF(PaymentSchedule[[#This Row],[PMT NO]]&lt;&gt;"",IF(ROW()-ROW(PaymentSchedule[[#Headers],[BEGINNING BALANCE]])=1,LoanAmount,INDEX(PaymentSchedule[ENDING BALANCE],ROW()-ROW(PaymentSchedule[[#Headers],[BEGINNING BALANCE]])-1)),"")</f>
        <v>6914.4268457789412</v>
      </c>
      <c r="D57" s="25">
        <f>IF(PaymentSchedule[[#This Row],[PMT NO]]&lt;&gt;"",ScheduledPayment,"")</f>
        <v>96.560744698389513</v>
      </c>
      <c r="E57" s="25">
        <v>0</v>
      </c>
      <c r="F5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7" s="25">
        <f>IF(PaymentSchedule[[#This Row],[PMT NO]]&lt;&gt;"",PaymentSchedule[[#This Row],[TOTAL PAYMENT]]-PaymentSchedule[[#This Row],[INTEREST]],"")</f>
        <v>79.274677583942164</v>
      </c>
      <c r="H57" s="25">
        <f>IF(PaymentSchedule[[#This Row],[PMT NO]]&lt;&gt;"",PaymentSchedule[[#This Row],[BEGINNING BALANCE]]*(InterestRate/PaymentsPerYear),"")</f>
        <v>17.286067114447352</v>
      </c>
      <c r="I5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6835.1521681949989</v>
      </c>
      <c r="J57" s="25">
        <f>IF(PaymentSchedule[[#This Row],[PMT NO]]&lt;&gt;"",SUM(INDEX(PaymentSchedule[INTEREST],1,1):PaymentSchedule[[#This Row],[INTEREST]]),"")</f>
        <v>890.70344552736049</v>
      </c>
    </row>
    <row r="58" spans="1:10" x14ac:dyDescent="0.3">
      <c r="A58" s="4">
        <f>IF(LoanIsGood,IF(ROW()-ROW(PaymentSchedule[[#Headers],[PMT NO]])&gt;ScheduledNumberOfPayments,"",ROW()-ROW(PaymentSchedule[[#Headers],[PMT NO]])),"")</f>
        <v>43</v>
      </c>
      <c r="B58" s="24">
        <f>IF(PaymentSchedule[[#This Row],[PMT NO]]&lt;&gt;"",EOMONTH(LoanStartDate,ROW(PaymentSchedule[[#This Row],[PMT NO]])-ROW(PaymentSchedule[[#Headers],[PMT NO]])-2)+DAY(LoanStartDate),"")</f>
        <v>46371</v>
      </c>
      <c r="C58" s="25">
        <f>IF(PaymentSchedule[[#This Row],[PMT NO]]&lt;&gt;"",IF(ROW()-ROW(PaymentSchedule[[#Headers],[BEGINNING BALANCE]])=1,LoanAmount,INDEX(PaymentSchedule[ENDING BALANCE],ROW()-ROW(PaymentSchedule[[#Headers],[BEGINNING BALANCE]])-1)),"")</f>
        <v>6835.1521681949989</v>
      </c>
      <c r="D58" s="25">
        <f>IF(PaymentSchedule[[#This Row],[PMT NO]]&lt;&gt;"",ScheduledPayment,"")</f>
        <v>96.560744698389513</v>
      </c>
      <c r="E5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8" s="25">
        <f>IF(PaymentSchedule[[#This Row],[PMT NO]]&lt;&gt;"",PaymentSchedule[[#This Row],[TOTAL PAYMENT]]-PaymentSchedule[[#This Row],[INTEREST]],"")</f>
        <v>79.472864277902019</v>
      </c>
      <c r="H58" s="25">
        <f>IF(PaymentSchedule[[#This Row],[PMT NO]]&lt;&gt;"",PaymentSchedule[[#This Row],[BEGINNING BALANCE]]*(InterestRate/PaymentsPerYear),"")</f>
        <v>17.087880420487497</v>
      </c>
      <c r="I5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6755.6793039170971</v>
      </c>
      <c r="J58" s="25">
        <f>IF(PaymentSchedule[[#This Row],[PMT NO]]&lt;&gt;"",SUM(INDEX(PaymentSchedule[INTEREST],1,1):PaymentSchedule[[#This Row],[INTEREST]]),"")</f>
        <v>907.79132594784801</v>
      </c>
    </row>
    <row r="59" spans="1:10" x14ac:dyDescent="0.3">
      <c r="A59" s="4">
        <f>IF(LoanIsGood,IF(ROW()-ROW(PaymentSchedule[[#Headers],[PMT NO]])&gt;ScheduledNumberOfPayments,"",ROW()-ROW(PaymentSchedule[[#Headers],[PMT NO]])),"")</f>
        <v>44</v>
      </c>
      <c r="B59" s="24">
        <f>IF(PaymentSchedule[[#This Row],[PMT NO]]&lt;&gt;"",EOMONTH(LoanStartDate,ROW(PaymentSchedule[[#This Row],[PMT NO]])-ROW(PaymentSchedule[[#Headers],[PMT NO]])-2)+DAY(LoanStartDate),"")</f>
        <v>46402</v>
      </c>
      <c r="C59" s="25">
        <f>IF(PaymentSchedule[[#This Row],[PMT NO]]&lt;&gt;"",IF(ROW()-ROW(PaymentSchedule[[#Headers],[BEGINNING BALANCE]])=1,LoanAmount,INDEX(PaymentSchedule[ENDING BALANCE],ROW()-ROW(PaymentSchedule[[#Headers],[BEGINNING BALANCE]])-1)),"")</f>
        <v>6755.6793039170971</v>
      </c>
      <c r="D59" s="25">
        <f>IF(PaymentSchedule[[#This Row],[PMT NO]]&lt;&gt;"",ScheduledPayment,"")</f>
        <v>96.560744698389513</v>
      </c>
      <c r="E5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5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59" s="25">
        <f>IF(PaymentSchedule[[#This Row],[PMT NO]]&lt;&gt;"",PaymentSchedule[[#This Row],[TOTAL PAYMENT]]-PaymentSchedule[[#This Row],[INTEREST]],"")</f>
        <v>79.671546438596778</v>
      </c>
      <c r="H59" s="25">
        <f>IF(PaymentSchedule[[#This Row],[PMT NO]]&lt;&gt;"",PaymentSchedule[[#This Row],[BEGINNING BALANCE]]*(InterestRate/PaymentsPerYear),"")</f>
        <v>16.889198259792742</v>
      </c>
      <c r="I5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6676.0077574785</v>
      </c>
      <c r="J59" s="25">
        <f>IF(PaymentSchedule[[#This Row],[PMT NO]]&lt;&gt;"",SUM(INDEX(PaymentSchedule[INTEREST],1,1):PaymentSchedule[[#This Row],[INTEREST]]),"")</f>
        <v>924.6805242076407</v>
      </c>
    </row>
    <row r="60" spans="1:10" x14ac:dyDescent="0.3">
      <c r="A60" s="4">
        <f>IF(LoanIsGood,IF(ROW()-ROW(PaymentSchedule[[#Headers],[PMT NO]])&gt;ScheduledNumberOfPayments,"",ROW()-ROW(PaymentSchedule[[#Headers],[PMT NO]])),"")</f>
        <v>45</v>
      </c>
      <c r="B60" s="24">
        <f>IF(PaymentSchedule[[#This Row],[PMT NO]]&lt;&gt;"",EOMONTH(LoanStartDate,ROW(PaymentSchedule[[#This Row],[PMT NO]])-ROW(PaymentSchedule[[#Headers],[PMT NO]])-2)+DAY(LoanStartDate),"")</f>
        <v>46433</v>
      </c>
      <c r="C60" s="25">
        <f>IF(PaymentSchedule[[#This Row],[PMT NO]]&lt;&gt;"",IF(ROW()-ROW(PaymentSchedule[[#Headers],[BEGINNING BALANCE]])=1,LoanAmount,INDEX(PaymentSchedule[ENDING BALANCE],ROW()-ROW(PaymentSchedule[[#Headers],[BEGINNING BALANCE]])-1)),"")</f>
        <v>6676.0077574785</v>
      </c>
      <c r="D60" s="25">
        <f>IF(PaymentSchedule[[#This Row],[PMT NO]]&lt;&gt;"",ScheduledPayment,"")</f>
        <v>96.560744698389513</v>
      </c>
      <c r="E6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0" s="25">
        <f>IF(PaymentSchedule[[#This Row],[PMT NO]]&lt;&gt;"",PaymentSchedule[[#This Row],[TOTAL PAYMENT]]-PaymentSchedule[[#This Row],[INTEREST]],"")</f>
        <v>79.870725304693266</v>
      </c>
      <c r="H60" s="25">
        <f>IF(PaymentSchedule[[#This Row],[PMT NO]]&lt;&gt;"",PaymentSchedule[[#This Row],[BEGINNING BALANCE]]*(InterestRate/PaymentsPerYear),"")</f>
        <v>16.69001939369625</v>
      </c>
      <c r="I6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6596.1370321738068</v>
      </c>
      <c r="J60" s="25">
        <f>IF(PaymentSchedule[[#This Row],[PMT NO]]&lt;&gt;"",SUM(INDEX(PaymentSchedule[INTEREST],1,1):PaymentSchedule[[#This Row],[INTEREST]]),"")</f>
        <v>941.37054360133698</v>
      </c>
    </row>
    <row r="61" spans="1:10" x14ac:dyDescent="0.3">
      <c r="A61" s="4">
        <f>IF(LoanIsGood,IF(ROW()-ROW(PaymentSchedule[[#Headers],[PMT NO]])&gt;ScheduledNumberOfPayments,"",ROW()-ROW(PaymentSchedule[[#Headers],[PMT NO]])),"")</f>
        <v>46</v>
      </c>
      <c r="B61" s="24">
        <f>IF(PaymentSchedule[[#This Row],[PMT NO]]&lt;&gt;"",EOMONTH(LoanStartDate,ROW(PaymentSchedule[[#This Row],[PMT NO]])-ROW(PaymentSchedule[[#Headers],[PMT NO]])-2)+DAY(LoanStartDate),"")</f>
        <v>46461</v>
      </c>
      <c r="C61" s="25">
        <f>IF(PaymentSchedule[[#This Row],[PMT NO]]&lt;&gt;"",IF(ROW()-ROW(PaymentSchedule[[#Headers],[BEGINNING BALANCE]])=1,LoanAmount,INDEX(PaymentSchedule[ENDING BALANCE],ROW()-ROW(PaymentSchedule[[#Headers],[BEGINNING BALANCE]])-1)),"")</f>
        <v>6596.1370321738068</v>
      </c>
      <c r="D61" s="25">
        <f>IF(PaymentSchedule[[#This Row],[PMT NO]]&lt;&gt;"",ScheduledPayment,"")</f>
        <v>96.560744698389513</v>
      </c>
      <c r="E6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1" s="25">
        <f>IF(PaymentSchedule[[#This Row],[PMT NO]]&lt;&gt;"",PaymentSchedule[[#This Row],[TOTAL PAYMENT]]-PaymentSchedule[[#This Row],[INTEREST]],"")</f>
        <v>80.070402117954998</v>
      </c>
      <c r="H61" s="25">
        <f>IF(PaymentSchedule[[#This Row],[PMT NO]]&lt;&gt;"",PaymentSchedule[[#This Row],[BEGINNING BALANCE]]*(InterestRate/PaymentsPerYear),"")</f>
        <v>16.490342580434518</v>
      </c>
      <c r="I6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6516.0666300558514</v>
      </c>
      <c r="J61" s="25">
        <f>IF(PaymentSchedule[[#This Row],[PMT NO]]&lt;&gt;"",SUM(INDEX(PaymentSchedule[INTEREST],1,1):PaymentSchedule[[#This Row],[INTEREST]]),"")</f>
        <v>957.86088618177155</v>
      </c>
    </row>
    <row r="62" spans="1:10" x14ac:dyDescent="0.3">
      <c r="A62" s="4">
        <f>IF(LoanIsGood,IF(ROW()-ROW(PaymentSchedule[[#Headers],[PMT NO]])&gt;ScheduledNumberOfPayments,"",ROW()-ROW(PaymentSchedule[[#Headers],[PMT NO]])),"")</f>
        <v>47</v>
      </c>
      <c r="B62" s="24">
        <f>IF(PaymentSchedule[[#This Row],[PMT NO]]&lt;&gt;"",EOMONTH(LoanStartDate,ROW(PaymentSchedule[[#This Row],[PMT NO]])-ROW(PaymentSchedule[[#Headers],[PMT NO]])-2)+DAY(LoanStartDate),"")</f>
        <v>46492</v>
      </c>
      <c r="C62" s="25">
        <f>IF(PaymentSchedule[[#This Row],[PMT NO]]&lt;&gt;"",IF(ROW()-ROW(PaymentSchedule[[#Headers],[BEGINNING BALANCE]])=1,LoanAmount,INDEX(PaymentSchedule[ENDING BALANCE],ROW()-ROW(PaymentSchedule[[#Headers],[BEGINNING BALANCE]])-1)),"")</f>
        <v>6516.0666300558514</v>
      </c>
      <c r="D62" s="25">
        <f>IF(PaymentSchedule[[#This Row],[PMT NO]]&lt;&gt;"",ScheduledPayment,"")</f>
        <v>96.560744698389513</v>
      </c>
      <c r="E6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2" s="25">
        <f>IF(PaymentSchedule[[#This Row],[PMT NO]]&lt;&gt;"",PaymentSchedule[[#This Row],[TOTAL PAYMENT]]-PaymentSchedule[[#This Row],[INTEREST]],"")</f>
        <v>80.270578123249891</v>
      </c>
      <c r="H62" s="25">
        <f>IF(PaymentSchedule[[#This Row],[PMT NO]]&lt;&gt;"",PaymentSchedule[[#This Row],[BEGINNING BALANCE]]*(InterestRate/PaymentsPerYear),"")</f>
        <v>16.290166575139629</v>
      </c>
      <c r="I6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6435.7960519326016</v>
      </c>
      <c r="J62" s="25">
        <f>IF(PaymentSchedule[[#This Row],[PMT NO]]&lt;&gt;"",SUM(INDEX(PaymentSchedule[INTEREST],1,1):PaymentSchedule[[#This Row],[INTEREST]]),"")</f>
        <v>974.15105275691121</v>
      </c>
    </row>
    <row r="63" spans="1:10" x14ac:dyDescent="0.3">
      <c r="A63" s="4">
        <f>IF(LoanIsGood,IF(ROW()-ROW(PaymentSchedule[[#Headers],[PMT NO]])&gt;ScheduledNumberOfPayments,"",ROW()-ROW(PaymentSchedule[[#Headers],[PMT NO]])),"")</f>
        <v>48</v>
      </c>
      <c r="B63" s="24">
        <f>IF(PaymentSchedule[[#This Row],[PMT NO]]&lt;&gt;"",EOMONTH(LoanStartDate,ROW(PaymentSchedule[[#This Row],[PMT NO]])-ROW(PaymentSchedule[[#Headers],[PMT NO]])-2)+DAY(LoanStartDate),"")</f>
        <v>46522</v>
      </c>
      <c r="C63" s="25">
        <f>IF(PaymentSchedule[[#This Row],[PMT NO]]&lt;&gt;"",IF(ROW()-ROW(PaymentSchedule[[#Headers],[BEGINNING BALANCE]])=1,LoanAmount,INDEX(PaymentSchedule[ENDING BALANCE],ROW()-ROW(PaymentSchedule[[#Headers],[BEGINNING BALANCE]])-1)),"")</f>
        <v>6435.7960519326016</v>
      </c>
      <c r="D63" s="25">
        <f>IF(PaymentSchedule[[#This Row],[PMT NO]]&lt;&gt;"",ScheduledPayment,"")</f>
        <v>96.560744698389513</v>
      </c>
      <c r="E63" s="25">
        <v>0</v>
      </c>
      <c r="F6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3" s="25">
        <f>IF(PaymentSchedule[[#This Row],[PMT NO]]&lt;&gt;"",PaymentSchedule[[#This Row],[TOTAL PAYMENT]]-PaymentSchedule[[#This Row],[INTEREST]],"")</f>
        <v>80.47125456855801</v>
      </c>
      <c r="H63" s="25">
        <f>IF(PaymentSchedule[[#This Row],[PMT NO]]&lt;&gt;"",PaymentSchedule[[#This Row],[BEGINNING BALANCE]]*(InterestRate/PaymentsPerYear),"")</f>
        <v>16.089490129831503</v>
      </c>
      <c r="I6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6355.3247973640437</v>
      </c>
      <c r="J63" s="25">
        <f>IF(PaymentSchedule[[#This Row],[PMT NO]]&lt;&gt;"",SUM(INDEX(PaymentSchedule[INTEREST],1,1):PaymentSchedule[[#This Row],[INTEREST]]),"")</f>
        <v>990.24054288674267</v>
      </c>
    </row>
    <row r="64" spans="1:10" x14ac:dyDescent="0.3">
      <c r="A64" s="4">
        <f>IF(LoanIsGood,IF(ROW()-ROW(PaymentSchedule[[#Headers],[PMT NO]])&gt;ScheduledNumberOfPayments,"",ROW()-ROW(PaymentSchedule[[#Headers],[PMT NO]])),"")</f>
        <v>49</v>
      </c>
      <c r="B64" s="24">
        <f>IF(PaymentSchedule[[#This Row],[PMT NO]]&lt;&gt;"",EOMONTH(LoanStartDate,ROW(PaymentSchedule[[#This Row],[PMT NO]])-ROW(PaymentSchedule[[#Headers],[PMT NO]])-2)+DAY(LoanStartDate),"")</f>
        <v>46553</v>
      </c>
      <c r="C64" s="25">
        <f>IF(PaymentSchedule[[#This Row],[PMT NO]]&lt;&gt;"",IF(ROW()-ROW(PaymentSchedule[[#Headers],[BEGINNING BALANCE]])=1,LoanAmount,INDEX(PaymentSchedule[ENDING BALANCE],ROW()-ROW(PaymentSchedule[[#Headers],[BEGINNING BALANCE]])-1)),"")</f>
        <v>6355.3247973640437</v>
      </c>
      <c r="D64" s="25">
        <f>IF(PaymentSchedule[[#This Row],[PMT NO]]&lt;&gt;"",ScheduledPayment,"")</f>
        <v>96.560744698389513</v>
      </c>
      <c r="E6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4" s="25">
        <f>IF(PaymentSchedule[[#This Row],[PMT NO]]&lt;&gt;"",PaymentSchedule[[#This Row],[TOTAL PAYMENT]]-PaymentSchedule[[#This Row],[INTEREST]],"")</f>
        <v>80.6724327049794</v>
      </c>
      <c r="H64" s="25">
        <f>IF(PaymentSchedule[[#This Row],[PMT NO]]&lt;&gt;"",PaymentSchedule[[#This Row],[BEGINNING BALANCE]]*(InterestRate/PaymentsPerYear),"")</f>
        <v>15.88831199341011</v>
      </c>
      <c r="I6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6274.652364659064</v>
      </c>
      <c r="J64" s="25">
        <f>IF(PaymentSchedule[[#This Row],[PMT NO]]&lt;&gt;"",SUM(INDEX(PaymentSchedule[INTEREST],1,1):PaymentSchedule[[#This Row],[INTEREST]]),"")</f>
        <v>1006.1288548801527</v>
      </c>
    </row>
    <row r="65" spans="1:10" x14ac:dyDescent="0.3">
      <c r="A65" s="4">
        <f>IF(LoanIsGood,IF(ROW()-ROW(PaymentSchedule[[#Headers],[PMT NO]])&gt;ScheduledNumberOfPayments,"",ROW()-ROW(PaymentSchedule[[#Headers],[PMT NO]])),"")</f>
        <v>50</v>
      </c>
      <c r="B65" s="24">
        <f>IF(PaymentSchedule[[#This Row],[PMT NO]]&lt;&gt;"",EOMONTH(LoanStartDate,ROW(PaymentSchedule[[#This Row],[PMT NO]])-ROW(PaymentSchedule[[#Headers],[PMT NO]])-2)+DAY(LoanStartDate),"")</f>
        <v>46583</v>
      </c>
      <c r="C65" s="25">
        <f>IF(PaymentSchedule[[#This Row],[PMT NO]]&lt;&gt;"",IF(ROW()-ROW(PaymentSchedule[[#Headers],[BEGINNING BALANCE]])=1,LoanAmount,INDEX(PaymentSchedule[ENDING BALANCE],ROW()-ROW(PaymentSchedule[[#Headers],[BEGINNING BALANCE]])-1)),"")</f>
        <v>6274.652364659064</v>
      </c>
      <c r="D65" s="25">
        <f>IF(PaymentSchedule[[#This Row],[PMT NO]]&lt;&gt;"",ScheduledPayment,"")</f>
        <v>96.560744698389513</v>
      </c>
      <c r="E6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5" s="25">
        <f>IF(PaymentSchedule[[#This Row],[PMT NO]]&lt;&gt;"",PaymentSchedule[[#This Row],[TOTAL PAYMENT]]-PaymentSchedule[[#This Row],[INTEREST]],"")</f>
        <v>80.874113786741859</v>
      </c>
      <c r="H65" s="25">
        <f>IF(PaymentSchedule[[#This Row],[PMT NO]]&lt;&gt;"",PaymentSchedule[[#This Row],[BEGINNING BALANCE]]*(InterestRate/PaymentsPerYear),"")</f>
        <v>15.68663091164766</v>
      </c>
      <c r="I6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6193.7782508723221</v>
      </c>
      <c r="J65" s="25">
        <f>IF(PaymentSchedule[[#This Row],[PMT NO]]&lt;&gt;"",SUM(INDEX(PaymentSchedule[INTEREST],1,1):PaymentSchedule[[#This Row],[INTEREST]]),"")</f>
        <v>1021.8154857918004</v>
      </c>
    </row>
    <row r="66" spans="1:10" x14ac:dyDescent="0.3">
      <c r="A66" s="4">
        <f>IF(LoanIsGood,IF(ROW()-ROW(PaymentSchedule[[#Headers],[PMT NO]])&gt;ScheduledNumberOfPayments,"",ROW()-ROW(PaymentSchedule[[#Headers],[PMT NO]])),"")</f>
        <v>51</v>
      </c>
      <c r="B66" s="24">
        <f>IF(PaymentSchedule[[#This Row],[PMT NO]]&lt;&gt;"",EOMONTH(LoanStartDate,ROW(PaymentSchedule[[#This Row],[PMT NO]])-ROW(PaymentSchedule[[#Headers],[PMT NO]])-2)+DAY(LoanStartDate),"")</f>
        <v>46614</v>
      </c>
      <c r="C66" s="25">
        <f>IF(PaymentSchedule[[#This Row],[PMT NO]]&lt;&gt;"",IF(ROW()-ROW(PaymentSchedule[[#Headers],[BEGINNING BALANCE]])=1,LoanAmount,INDEX(PaymentSchedule[ENDING BALANCE],ROW()-ROW(PaymentSchedule[[#Headers],[BEGINNING BALANCE]])-1)),"")</f>
        <v>6193.7782508723221</v>
      </c>
      <c r="D66" s="25">
        <f>IF(PaymentSchedule[[#This Row],[PMT NO]]&lt;&gt;"",ScheduledPayment,"")</f>
        <v>96.560744698389513</v>
      </c>
      <c r="E6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6" s="25">
        <f>IF(PaymentSchedule[[#This Row],[PMT NO]]&lt;&gt;"",PaymentSchedule[[#This Row],[TOTAL PAYMENT]]-PaymentSchedule[[#This Row],[INTEREST]],"")</f>
        <v>81.076299071208709</v>
      </c>
      <c r="H66" s="25">
        <f>IF(PaymentSchedule[[#This Row],[PMT NO]]&lt;&gt;"",PaymentSchedule[[#This Row],[BEGINNING BALANCE]]*(InterestRate/PaymentsPerYear),"")</f>
        <v>15.484445627180806</v>
      </c>
      <c r="I6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6112.7019518011139</v>
      </c>
      <c r="J66" s="25">
        <f>IF(PaymentSchedule[[#This Row],[PMT NO]]&lt;&gt;"",SUM(INDEX(PaymentSchedule[INTEREST],1,1):PaymentSchedule[[#This Row],[INTEREST]]),"")</f>
        <v>1037.2999314189813</v>
      </c>
    </row>
    <row r="67" spans="1:10" x14ac:dyDescent="0.3">
      <c r="A67" s="4">
        <f>IF(LoanIsGood,IF(ROW()-ROW(PaymentSchedule[[#Headers],[PMT NO]])&gt;ScheduledNumberOfPayments,"",ROW()-ROW(PaymentSchedule[[#Headers],[PMT NO]])),"")</f>
        <v>52</v>
      </c>
      <c r="B67" s="24">
        <f>IF(PaymentSchedule[[#This Row],[PMT NO]]&lt;&gt;"",EOMONTH(LoanStartDate,ROW(PaymentSchedule[[#This Row],[PMT NO]])-ROW(PaymentSchedule[[#Headers],[PMT NO]])-2)+DAY(LoanStartDate),"")</f>
        <v>46645</v>
      </c>
      <c r="C67" s="25">
        <f>IF(PaymentSchedule[[#This Row],[PMT NO]]&lt;&gt;"",IF(ROW()-ROW(PaymentSchedule[[#Headers],[BEGINNING BALANCE]])=1,LoanAmount,INDEX(PaymentSchedule[ENDING BALANCE],ROW()-ROW(PaymentSchedule[[#Headers],[BEGINNING BALANCE]])-1)),"")</f>
        <v>6112.7019518011139</v>
      </c>
      <c r="D67" s="25">
        <f>IF(PaymentSchedule[[#This Row],[PMT NO]]&lt;&gt;"",ScheduledPayment,"")</f>
        <v>96.560744698389513</v>
      </c>
      <c r="E6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7" s="25">
        <f>IF(PaymentSchedule[[#This Row],[PMT NO]]&lt;&gt;"",PaymentSchedule[[#This Row],[TOTAL PAYMENT]]-PaymentSchedule[[#This Row],[INTEREST]],"")</f>
        <v>81.278989818886728</v>
      </c>
      <c r="H67" s="25">
        <f>IF(PaymentSchedule[[#This Row],[PMT NO]]&lt;&gt;"",PaymentSchedule[[#This Row],[BEGINNING BALANCE]]*(InterestRate/PaymentsPerYear),"")</f>
        <v>15.281754879502785</v>
      </c>
      <c r="I6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6031.4229619822272</v>
      </c>
      <c r="J67" s="25">
        <f>IF(PaymentSchedule[[#This Row],[PMT NO]]&lt;&gt;"",SUM(INDEX(PaymentSchedule[INTEREST],1,1):PaymentSchedule[[#This Row],[INTEREST]]),"")</f>
        <v>1052.5816862984841</v>
      </c>
    </row>
    <row r="68" spans="1:10" x14ac:dyDescent="0.3">
      <c r="A68" s="4">
        <f>IF(LoanIsGood,IF(ROW()-ROW(PaymentSchedule[[#Headers],[PMT NO]])&gt;ScheduledNumberOfPayments,"",ROW()-ROW(PaymentSchedule[[#Headers],[PMT NO]])),"")</f>
        <v>53</v>
      </c>
      <c r="B68" s="24">
        <f>IF(PaymentSchedule[[#This Row],[PMT NO]]&lt;&gt;"",EOMONTH(LoanStartDate,ROW(PaymentSchedule[[#This Row],[PMT NO]])-ROW(PaymentSchedule[[#Headers],[PMT NO]])-2)+DAY(LoanStartDate),"")</f>
        <v>46675</v>
      </c>
      <c r="C68" s="25">
        <f>IF(PaymentSchedule[[#This Row],[PMT NO]]&lt;&gt;"",IF(ROW()-ROW(PaymentSchedule[[#Headers],[BEGINNING BALANCE]])=1,LoanAmount,INDEX(PaymentSchedule[ENDING BALANCE],ROW()-ROW(PaymentSchedule[[#Headers],[BEGINNING BALANCE]])-1)),"")</f>
        <v>6031.4229619822272</v>
      </c>
      <c r="D68" s="25">
        <f>IF(PaymentSchedule[[#This Row],[PMT NO]]&lt;&gt;"",ScheduledPayment,"")</f>
        <v>96.560744698389513</v>
      </c>
      <c r="E6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8" s="25">
        <f>IF(PaymentSchedule[[#This Row],[PMT NO]]&lt;&gt;"",PaymentSchedule[[#This Row],[TOTAL PAYMENT]]-PaymentSchedule[[#This Row],[INTEREST]],"")</f>
        <v>81.482187293433952</v>
      </c>
      <c r="H68" s="25">
        <f>IF(PaymentSchedule[[#This Row],[PMT NO]]&lt;&gt;"",PaymentSchedule[[#This Row],[BEGINNING BALANCE]]*(InterestRate/PaymentsPerYear),"")</f>
        <v>15.078557404955568</v>
      </c>
      <c r="I6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5949.9407746887937</v>
      </c>
      <c r="J68" s="25">
        <f>IF(PaymentSchedule[[#This Row],[PMT NO]]&lt;&gt;"",SUM(INDEX(PaymentSchedule[INTEREST],1,1):PaymentSchedule[[#This Row],[INTEREST]]),"")</f>
        <v>1067.6602437034396</v>
      </c>
    </row>
    <row r="69" spans="1:10" x14ac:dyDescent="0.3">
      <c r="A69" s="4">
        <f>IF(LoanIsGood,IF(ROW()-ROW(PaymentSchedule[[#Headers],[PMT NO]])&gt;ScheduledNumberOfPayments,"",ROW()-ROW(PaymentSchedule[[#Headers],[PMT NO]])),"")</f>
        <v>54</v>
      </c>
      <c r="B69" s="24">
        <f>IF(PaymentSchedule[[#This Row],[PMT NO]]&lt;&gt;"",EOMONTH(LoanStartDate,ROW(PaymentSchedule[[#This Row],[PMT NO]])-ROW(PaymentSchedule[[#Headers],[PMT NO]])-2)+DAY(LoanStartDate),"")</f>
        <v>46706</v>
      </c>
      <c r="C69" s="25">
        <f>IF(PaymentSchedule[[#This Row],[PMT NO]]&lt;&gt;"",IF(ROW()-ROW(PaymentSchedule[[#Headers],[BEGINNING BALANCE]])=1,LoanAmount,INDEX(PaymentSchedule[ENDING BALANCE],ROW()-ROW(PaymentSchedule[[#Headers],[BEGINNING BALANCE]])-1)),"")</f>
        <v>5949.9407746887937</v>
      </c>
      <c r="D69" s="25">
        <f>IF(PaymentSchedule[[#This Row],[PMT NO]]&lt;&gt;"",ScheduledPayment,"")</f>
        <v>96.560744698389513</v>
      </c>
      <c r="E6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6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69" s="25">
        <f>IF(PaymentSchedule[[#This Row],[PMT NO]]&lt;&gt;"",PaymentSchedule[[#This Row],[TOTAL PAYMENT]]-PaymentSchedule[[#This Row],[INTEREST]],"")</f>
        <v>81.685892761667532</v>
      </c>
      <c r="H69" s="25">
        <f>IF(PaymentSchedule[[#This Row],[PMT NO]]&lt;&gt;"",PaymentSchedule[[#This Row],[BEGINNING BALANCE]]*(InterestRate/PaymentsPerYear),"")</f>
        <v>14.874851936721985</v>
      </c>
      <c r="I6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5868.254881927126</v>
      </c>
      <c r="J69" s="25">
        <f>IF(PaymentSchedule[[#This Row],[PMT NO]]&lt;&gt;"",SUM(INDEX(PaymentSchedule[INTEREST],1,1):PaymentSchedule[[#This Row],[INTEREST]]),"")</f>
        <v>1082.5350956401617</v>
      </c>
    </row>
    <row r="70" spans="1:10" x14ac:dyDescent="0.3">
      <c r="A70" s="4">
        <f>IF(LoanIsGood,IF(ROW()-ROW(PaymentSchedule[[#Headers],[PMT NO]])&gt;ScheduledNumberOfPayments,"",ROW()-ROW(PaymentSchedule[[#Headers],[PMT NO]])),"")</f>
        <v>55</v>
      </c>
      <c r="B70" s="24">
        <f>IF(PaymentSchedule[[#This Row],[PMT NO]]&lt;&gt;"",EOMONTH(LoanStartDate,ROW(PaymentSchedule[[#This Row],[PMT NO]])-ROW(PaymentSchedule[[#Headers],[PMT NO]])-2)+DAY(LoanStartDate),"")</f>
        <v>46736</v>
      </c>
      <c r="C70" s="25">
        <f>IF(PaymentSchedule[[#This Row],[PMT NO]]&lt;&gt;"",IF(ROW()-ROW(PaymentSchedule[[#Headers],[BEGINNING BALANCE]])=1,LoanAmount,INDEX(PaymentSchedule[ENDING BALANCE],ROW()-ROW(PaymentSchedule[[#Headers],[BEGINNING BALANCE]])-1)),"")</f>
        <v>5868.254881927126</v>
      </c>
      <c r="D70" s="25">
        <f>IF(PaymentSchedule[[#This Row],[PMT NO]]&lt;&gt;"",ScheduledPayment,"")</f>
        <v>96.560744698389513</v>
      </c>
      <c r="E7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0" s="25">
        <f>IF(PaymentSchedule[[#This Row],[PMT NO]]&lt;&gt;"",PaymentSchedule[[#This Row],[TOTAL PAYMENT]]-PaymentSchedule[[#This Row],[INTEREST]],"")</f>
        <v>81.890107493571691</v>
      </c>
      <c r="H70" s="25">
        <f>IF(PaymentSchedule[[#This Row],[PMT NO]]&lt;&gt;"",PaymentSchedule[[#This Row],[BEGINNING BALANCE]]*(InterestRate/PaymentsPerYear),"")</f>
        <v>14.670637204817815</v>
      </c>
      <c r="I7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5786.364774433554</v>
      </c>
      <c r="J70" s="25">
        <f>IF(PaymentSchedule[[#This Row],[PMT NO]]&lt;&gt;"",SUM(INDEX(PaymentSchedule[INTEREST],1,1):PaymentSchedule[[#This Row],[INTEREST]]),"")</f>
        <v>1097.2057328449796</v>
      </c>
    </row>
    <row r="71" spans="1:10" x14ac:dyDescent="0.3">
      <c r="A71" s="4">
        <f>IF(LoanIsGood,IF(ROW()-ROW(PaymentSchedule[[#Headers],[PMT NO]])&gt;ScheduledNumberOfPayments,"",ROW()-ROW(PaymentSchedule[[#Headers],[PMT NO]])),"")</f>
        <v>56</v>
      </c>
      <c r="B71" s="24">
        <f>IF(PaymentSchedule[[#This Row],[PMT NO]]&lt;&gt;"",EOMONTH(LoanStartDate,ROW(PaymentSchedule[[#This Row],[PMT NO]])-ROW(PaymentSchedule[[#Headers],[PMT NO]])-2)+DAY(LoanStartDate),"")</f>
        <v>46767</v>
      </c>
      <c r="C71" s="25">
        <f>IF(PaymentSchedule[[#This Row],[PMT NO]]&lt;&gt;"",IF(ROW()-ROW(PaymentSchedule[[#Headers],[BEGINNING BALANCE]])=1,LoanAmount,INDEX(PaymentSchedule[ENDING BALANCE],ROW()-ROW(PaymentSchedule[[#Headers],[BEGINNING BALANCE]])-1)),"")</f>
        <v>5786.364774433554</v>
      </c>
      <c r="D71" s="25">
        <f>IF(PaymentSchedule[[#This Row],[PMT NO]]&lt;&gt;"",ScheduledPayment,"")</f>
        <v>96.560744698389513</v>
      </c>
      <c r="E7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1" s="25">
        <f>IF(PaymentSchedule[[#This Row],[PMT NO]]&lt;&gt;"",PaymentSchedule[[#This Row],[TOTAL PAYMENT]]-PaymentSchedule[[#This Row],[INTEREST]],"")</f>
        <v>82.094832762305629</v>
      </c>
      <c r="H71" s="25">
        <f>IF(PaymentSchedule[[#This Row],[PMT NO]]&lt;&gt;"",PaymentSchedule[[#This Row],[BEGINNING BALANCE]]*(InterestRate/PaymentsPerYear),"")</f>
        <v>14.465911936083884</v>
      </c>
      <c r="I7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5704.2699416712485</v>
      </c>
      <c r="J71" s="25">
        <f>IF(PaymentSchedule[[#This Row],[PMT NO]]&lt;&gt;"",SUM(INDEX(PaymentSchedule[INTEREST],1,1):PaymentSchedule[[#This Row],[INTEREST]]),"")</f>
        <v>1111.6716447810634</v>
      </c>
    </row>
    <row r="72" spans="1:10" x14ac:dyDescent="0.3">
      <c r="A72" s="4">
        <f>IF(LoanIsGood,IF(ROW()-ROW(PaymentSchedule[[#Headers],[PMT NO]])&gt;ScheduledNumberOfPayments,"",ROW()-ROW(PaymentSchedule[[#Headers],[PMT NO]])),"")</f>
        <v>57</v>
      </c>
      <c r="B72" s="24">
        <f>IF(PaymentSchedule[[#This Row],[PMT NO]]&lt;&gt;"",EOMONTH(LoanStartDate,ROW(PaymentSchedule[[#This Row],[PMT NO]])-ROW(PaymentSchedule[[#Headers],[PMT NO]])-2)+DAY(LoanStartDate),"")</f>
        <v>46798</v>
      </c>
      <c r="C72" s="25">
        <f>IF(PaymentSchedule[[#This Row],[PMT NO]]&lt;&gt;"",IF(ROW()-ROW(PaymentSchedule[[#Headers],[BEGINNING BALANCE]])=1,LoanAmount,INDEX(PaymentSchedule[ENDING BALANCE],ROW()-ROW(PaymentSchedule[[#Headers],[BEGINNING BALANCE]])-1)),"")</f>
        <v>5704.2699416712485</v>
      </c>
      <c r="D72" s="25">
        <f>IF(PaymentSchedule[[#This Row],[PMT NO]]&lt;&gt;"",ScheduledPayment,"")</f>
        <v>96.560744698389513</v>
      </c>
      <c r="E7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2" s="25">
        <f>IF(PaymentSchedule[[#This Row],[PMT NO]]&lt;&gt;"",PaymentSchedule[[#This Row],[TOTAL PAYMENT]]-PaymentSchedule[[#This Row],[INTEREST]],"")</f>
        <v>82.300069844211393</v>
      </c>
      <c r="H72" s="25">
        <f>IF(PaymentSchedule[[#This Row],[PMT NO]]&lt;&gt;"",PaymentSchedule[[#This Row],[BEGINNING BALANCE]]*(InterestRate/PaymentsPerYear),"")</f>
        <v>14.260674854178122</v>
      </c>
      <c r="I7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5621.9698718270374</v>
      </c>
      <c r="J72" s="25">
        <f>IF(PaymentSchedule[[#This Row],[PMT NO]]&lt;&gt;"",SUM(INDEX(PaymentSchedule[INTEREST],1,1):PaymentSchedule[[#This Row],[INTEREST]]),"")</f>
        <v>1125.9323196352416</v>
      </c>
    </row>
    <row r="73" spans="1:10" x14ac:dyDescent="0.3">
      <c r="A73" s="4">
        <f>IF(LoanIsGood,IF(ROW()-ROW(PaymentSchedule[[#Headers],[PMT NO]])&gt;ScheduledNumberOfPayments,"",ROW()-ROW(PaymentSchedule[[#Headers],[PMT NO]])),"")</f>
        <v>58</v>
      </c>
      <c r="B73" s="24">
        <f>IF(PaymentSchedule[[#This Row],[PMT NO]]&lt;&gt;"",EOMONTH(LoanStartDate,ROW(PaymentSchedule[[#This Row],[PMT NO]])-ROW(PaymentSchedule[[#Headers],[PMT NO]])-2)+DAY(LoanStartDate),"")</f>
        <v>46827</v>
      </c>
      <c r="C73" s="25">
        <f>IF(PaymentSchedule[[#This Row],[PMT NO]]&lt;&gt;"",IF(ROW()-ROW(PaymentSchedule[[#Headers],[BEGINNING BALANCE]])=1,LoanAmount,INDEX(PaymentSchedule[ENDING BALANCE],ROW()-ROW(PaymentSchedule[[#Headers],[BEGINNING BALANCE]])-1)),"")</f>
        <v>5621.9698718270374</v>
      </c>
      <c r="D73" s="25">
        <f>IF(PaymentSchedule[[#This Row],[PMT NO]]&lt;&gt;"",ScheduledPayment,"")</f>
        <v>96.560744698389513</v>
      </c>
      <c r="E7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3" s="25">
        <f>IF(PaymentSchedule[[#This Row],[PMT NO]]&lt;&gt;"",PaymentSchedule[[#This Row],[TOTAL PAYMENT]]-PaymentSchedule[[#This Row],[INTEREST]],"")</f>
        <v>82.505820018821922</v>
      </c>
      <c r="H73" s="25">
        <f>IF(PaymentSchedule[[#This Row],[PMT NO]]&lt;&gt;"",PaymentSchedule[[#This Row],[BEGINNING BALANCE]]*(InterestRate/PaymentsPerYear),"")</f>
        <v>14.054924679567593</v>
      </c>
      <c r="I7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5539.4640518082151</v>
      </c>
      <c r="J73" s="25">
        <f>IF(PaymentSchedule[[#This Row],[PMT NO]]&lt;&gt;"",SUM(INDEX(PaymentSchedule[INTEREST],1,1):PaymentSchedule[[#This Row],[INTEREST]]),"")</f>
        <v>1139.9872443148092</v>
      </c>
    </row>
    <row r="74" spans="1:10" x14ac:dyDescent="0.3">
      <c r="A74" s="4">
        <f>IF(LoanIsGood,IF(ROW()-ROW(PaymentSchedule[[#Headers],[PMT NO]])&gt;ScheduledNumberOfPayments,"",ROW()-ROW(PaymentSchedule[[#Headers],[PMT NO]])),"")</f>
        <v>59</v>
      </c>
      <c r="B74" s="24">
        <f>IF(PaymentSchedule[[#This Row],[PMT NO]]&lt;&gt;"",EOMONTH(LoanStartDate,ROW(PaymentSchedule[[#This Row],[PMT NO]])-ROW(PaymentSchedule[[#Headers],[PMT NO]])-2)+DAY(LoanStartDate),"")</f>
        <v>46858</v>
      </c>
      <c r="C74" s="25">
        <f>IF(PaymentSchedule[[#This Row],[PMT NO]]&lt;&gt;"",IF(ROW()-ROW(PaymentSchedule[[#Headers],[BEGINNING BALANCE]])=1,LoanAmount,INDEX(PaymentSchedule[ENDING BALANCE],ROW()-ROW(PaymentSchedule[[#Headers],[BEGINNING BALANCE]])-1)),"")</f>
        <v>5539.4640518082151</v>
      </c>
      <c r="D74" s="25">
        <f>IF(PaymentSchedule[[#This Row],[PMT NO]]&lt;&gt;"",ScheduledPayment,"")</f>
        <v>96.560744698389513</v>
      </c>
      <c r="E7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4" s="25">
        <f>IF(PaymentSchedule[[#This Row],[PMT NO]]&lt;&gt;"",PaymentSchedule[[#This Row],[TOTAL PAYMENT]]-PaymentSchedule[[#This Row],[INTEREST]],"")</f>
        <v>82.712084568868974</v>
      </c>
      <c r="H74" s="25">
        <f>IF(PaymentSchedule[[#This Row],[PMT NO]]&lt;&gt;"",PaymentSchedule[[#This Row],[BEGINNING BALANCE]]*(InterestRate/PaymentsPerYear),"")</f>
        <v>13.848660129520539</v>
      </c>
      <c r="I7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5456.7519672393464</v>
      </c>
      <c r="J74" s="25">
        <f>IF(PaymentSchedule[[#This Row],[PMT NO]]&lt;&gt;"",SUM(INDEX(PaymentSchedule[INTEREST],1,1):PaymentSchedule[[#This Row],[INTEREST]]),"")</f>
        <v>1153.8359044443298</v>
      </c>
    </row>
    <row r="75" spans="1:10" x14ac:dyDescent="0.3">
      <c r="A75" s="4">
        <f>IF(LoanIsGood,IF(ROW()-ROW(PaymentSchedule[[#Headers],[PMT NO]])&gt;ScheduledNumberOfPayments,"",ROW()-ROW(PaymentSchedule[[#Headers],[PMT NO]])),"")</f>
        <v>60</v>
      </c>
      <c r="B75" s="24">
        <f>IF(PaymentSchedule[[#This Row],[PMT NO]]&lt;&gt;"",EOMONTH(LoanStartDate,ROW(PaymentSchedule[[#This Row],[PMT NO]])-ROW(PaymentSchedule[[#Headers],[PMT NO]])-2)+DAY(LoanStartDate),"")</f>
        <v>46888</v>
      </c>
      <c r="C75" s="25">
        <f>IF(PaymentSchedule[[#This Row],[PMT NO]]&lt;&gt;"",IF(ROW()-ROW(PaymentSchedule[[#Headers],[BEGINNING BALANCE]])=1,LoanAmount,INDEX(PaymentSchedule[ENDING BALANCE],ROW()-ROW(PaymentSchedule[[#Headers],[BEGINNING BALANCE]])-1)),"")</f>
        <v>5456.7519672393464</v>
      </c>
      <c r="D75" s="25">
        <f>IF(PaymentSchedule[[#This Row],[PMT NO]]&lt;&gt;"",ScheduledPayment,"")</f>
        <v>96.560744698389513</v>
      </c>
      <c r="E7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5" s="25">
        <f>IF(PaymentSchedule[[#This Row],[PMT NO]]&lt;&gt;"",PaymentSchedule[[#This Row],[TOTAL PAYMENT]]-PaymentSchedule[[#This Row],[INTEREST]],"")</f>
        <v>82.918864780291145</v>
      </c>
      <c r="H75" s="25">
        <f>IF(PaymentSchedule[[#This Row],[PMT NO]]&lt;&gt;"",PaymentSchedule[[#This Row],[BEGINNING BALANCE]]*(InterestRate/PaymentsPerYear),"")</f>
        <v>13.641879918098367</v>
      </c>
      <c r="I7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5373.8331024590552</v>
      </c>
      <c r="J75" s="25">
        <f>IF(PaymentSchedule[[#This Row],[PMT NO]]&lt;&gt;"",SUM(INDEX(PaymentSchedule[INTEREST],1,1):PaymentSchedule[[#This Row],[INTEREST]]),"")</f>
        <v>1167.4777843624281</v>
      </c>
    </row>
    <row r="76" spans="1:10" x14ac:dyDescent="0.3">
      <c r="A76" s="4">
        <f>IF(LoanIsGood,IF(ROW()-ROW(PaymentSchedule[[#Headers],[PMT NO]])&gt;ScheduledNumberOfPayments,"",ROW()-ROW(PaymentSchedule[[#Headers],[PMT NO]])),"")</f>
        <v>61</v>
      </c>
      <c r="B76" s="24">
        <f>IF(PaymentSchedule[[#This Row],[PMT NO]]&lt;&gt;"",EOMONTH(LoanStartDate,ROW(PaymentSchedule[[#This Row],[PMT NO]])-ROW(PaymentSchedule[[#Headers],[PMT NO]])-2)+DAY(LoanStartDate),"")</f>
        <v>46919</v>
      </c>
      <c r="C76" s="25">
        <f>IF(PaymentSchedule[[#This Row],[PMT NO]]&lt;&gt;"",IF(ROW()-ROW(PaymentSchedule[[#Headers],[BEGINNING BALANCE]])=1,LoanAmount,INDEX(PaymentSchedule[ENDING BALANCE],ROW()-ROW(PaymentSchedule[[#Headers],[BEGINNING BALANCE]])-1)),"")</f>
        <v>5373.8331024590552</v>
      </c>
      <c r="D76" s="25">
        <f>IF(PaymentSchedule[[#This Row],[PMT NO]]&lt;&gt;"",ScheduledPayment,"")</f>
        <v>96.560744698389513</v>
      </c>
      <c r="E7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6" s="25">
        <f>IF(PaymentSchedule[[#This Row],[PMT NO]]&lt;&gt;"",PaymentSchedule[[#This Row],[TOTAL PAYMENT]]-PaymentSchedule[[#This Row],[INTEREST]],"")</f>
        <v>83.126161942241879</v>
      </c>
      <c r="H76" s="25">
        <f>IF(PaymentSchedule[[#This Row],[PMT NO]]&lt;&gt;"",PaymentSchedule[[#This Row],[BEGINNING BALANCE]]*(InterestRate/PaymentsPerYear),"")</f>
        <v>13.434582756147638</v>
      </c>
      <c r="I7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5290.7069405168131</v>
      </c>
      <c r="J76" s="25">
        <f>IF(PaymentSchedule[[#This Row],[PMT NO]]&lt;&gt;"",SUM(INDEX(PaymentSchedule[INTEREST],1,1):PaymentSchedule[[#This Row],[INTEREST]]),"")</f>
        <v>1180.9123671185757</v>
      </c>
    </row>
    <row r="77" spans="1:10" x14ac:dyDescent="0.3">
      <c r="A77" s="4">
        <f>IF(LoanIsGood,IF(ROW()-ROW(PaymentSchedule[[#Headers],[PMT NO]])&gt;ScheduledNumberOfPayments,"",ROW()-ROW(PaymentSchedule[[#Headers],[PMT NO]])),"")</f>
        <v>62</v>
      </c>
      <c r="B77" s="24">
        <f>IF(PaymentSchedule[[#This Row],[PMT NO]]&lt;&gt;"",EOMONTH(LoanStartDate,ROW(PaymentSchedule[[#This Row],[PMT NO]])-ROW(PaymentSchedule[[#Headers],[PMT NO]])-2)+DAY(LoanStartDate),"")</f>
        <v>46949</v>
      </c>
      <c r="C77" s="25">
        <f>IF(PaymentSchedule[[#This Row],[PMT NO]]&lt;&gt;"",IF(ROW()-ROW(PaymentSchedule[[#Headers],[BEGINNING BALANCE]])=1,LoanAmount,INDEX(PaymentSchedule[ENDING BALANCE],ROW()-ROW(PaymentSchedule[[#Headers],[BEGINNING BALANCE]])-1)),"")</f>
        <v>5290.7069405168131</v>
      </c>
      <c r="D77" s="25">
        <f>IF(PaymentSchedule[[#This Row],[PMT NO]]&lt;&gt;"",ScheduledPayment,"")</f>
        <v>96.560744698389513</v>
      </c>
      <c r="E7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7" s="25">
        <f>IF(PaymentSchedule[[#This Row],[PMT NO]]&lt;&gt;"",PaymentSchedule[[#This Row],[TOTAL PAYMENT]]-PaymentSchedule[[#This Row],[INTEREST]],"")</f>
        <v>83.333977347097488</v>
      </c>
      <c r="H77" s="25">
        <f>IF(PaymentSchedule[[#This Row],[PMT NO]]&lt;&gt;"",PaymentSchedule[[#This Row],[BEGINNING BALANCE]]*(InterestRate/PaymentsPerYear),"")</f>
        <v>13.226767351292033</v>
      </c>
      <c r="I7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5207.3729631697161</v>
      </c>
      <c r="J77" s="25">
        <f>IF(PaymentSchedule[[#This Row],[PMT NO]]&lt;&gt;"",SUM(INDEX(PaymentSchedule[INTEREST],1,1):PaymentSchedule[[#This Row],[INTEREST]]),"")</f>
        <v>1194.1391344698677</v>
      </c>
    </row>
    <row r="78" spans="1:10" x14ac:dyDescent="0.3">
      <c r="A78" s="4">
        <f>IF(LoanIsGood,IF(ROW()-ROW(PaymentSchedule[[#Headers],[PMT NO]])&gt;ScheduledNumberOfPayments,"",ROW()-ROW(PaymentSchedule[[#Headers],[PMT NO]])),"")</f>
        <v>63</v>
      </c>
      <c r="B78" s="24">
        <f>IF(PaymentSchedule[[#This Row],[PMT NO]]&lt;&gt;"",EOMONTH(LoanStartDate,ROW(PaymentSchedule[[#This Row],[PMT NO]])-ROW(PaymentSchedule[[#Headers],[PMT NO]])-2)+DAY(LoanStartDate),"")</f>
        <v>46980</v>
      </c>
      <c r="C78" s="25">
        <f>IF(PaymentSchedule[[#This Row],[PMT NO]]&lt;&gt;"",IF(ROW()-ROW(PaymentSchedule[[#Headers],[BEGINNING BALANCE]])=1,LoanAmount,INDEX(PaymentSchedule[ENDING BALANCE],ROW()-ROW(PaymentSchedule[[#Headers],[BEGINNING BALANCE]])-1)),"")</f>
        <v>5207.3729631697161</v>
      </c>
      <c r="D78" s="25">
        <f>IF(PaymentSchedule[[#This Row],[PMT NO]]&lt;&gt;"",ScheduledPayment,"")</f>
        <v>96.560744698389513</v>
      </c>
      <c r="E7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8" s="25">
        <f>IF(PaymentSchedule[[#This Row],[PMT NO]]&lt;&gt;"",PaymentSchedule[[#This Row],[TOTAL PAYMENT]]-PaymentSchedule[[#This Row],[INTEREST]],"")</f>
        <v>83.542312290465219</v>
      </c>
      <c r="H78" s="25">
        <f>IF(PaymentSchedule[[#This Row],[PMT NO]]&lt;&gt;"",PaymentSchedule[[#This Row],[BEGINNING BALANCE]]*(InterestRate/PaymentsPerYear),"")</f>
        <v>13.018432407924291</v>
      </c>
      <c r="I7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5123.8306508792512</v>
      </c>
      <c r="J78" s="25">
        <f>IF(PaymentSchedule[[#This Row],[PMT NO]]&lt;&gt;"",SUM(INDEX(PaymentSchedule[INTEREST],1,1):PaymentSchedule[[#This Row],[INTEREST]]),"")</f>
        <v>1207.1575668777921</v>
      </c>
    </row>
    <row r="79" spans="1:10" x14ac:dyDescent="0.3">
      <c r="A79" s="4">
        <f>IF(LoanIsGood,IF(ROW()-ROW(PaymentSchedule[[#Headers],[PMT NO]])&gt;ScheduledNumberOfPayments,"",ROW()-ROW(PaymentSchedule[[#Headers],[PMT NO]])),"")</f>
        <v>64</v>
      </c>
      <c r="B79" s="24">
        <f>IF(PaymentSchedule[[#This Row],[PMT NO]]&lt;&gt;"",EOMONTH(LoanStartDate,ROW(PaymentSchedule[[#This Row],[PMT NO]])-ROW(PaymentSchedule[[#Headers],[PMT NO]])-2)+DAY(LoanStartDate),"")</f>
        <v>47011</v>
      </c>
      <c r="C79" s="25">
        <f>IF(PaymentSchedule[[#This Row],[PMT NO]]&lt;&gt;"",IF(ROW()-ROW(PaymentSchedule[[#Headers],[BEGINNING BALANCE]])=1,LoanAmount,INDEX(PaymentSchedule[ENDING BALANCE],ROW()-ROW(PaymentSchedule[[#Headers],[BEGINNING BALANCE]])-1)),"")</f>
        <v>5123.8306508792512</v>
      </c>
      <c r="D79" s="25">
        <f>IF(PaymentSchedule[[#This Row],[PMT NO]]&lt;&gt;"",ScheduledPayment,"")</f>
        <v>96.560744698389513</v>
      </c>
      <c r="E7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7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79" s="25">
        <f>IF(PaymentSchedule[[#This Row],[PMT NO]]&lt;&gt;"",PaymentSchedule[[#This Row],[TOTAL PAYMENT]]-PaymentSchedule[[#This Row],[INTEREST]],"")</f>
        <v>83.751168071191387</v>
      </c>
      <c r="H79" s="25">
        <f>IF(PaymentSchedule[[#This Row],[PMT NO]]&lt;&gt;"",PaymentSchedule[[#This Row],[BEGINNING BALANCE]]*(InterestRate/PaymentsPerYear),"")</f>
        <v>12.809576627198128</v>
      </c>
      <c r="I7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5040.0794828080598</v>
      </c>
      <c r="J79" s="25">
        <f>IF(PaymentSchedule[[#This Row],[PMT NO]]&lt;&gt;"",SUM(INDEX(PaymentSchedule[INTEREST],1,1):PaymentSchedule[[#This Row],[INTEREST]]),"")</f>
        <v>1219.9671435049902</v>
      </c>
    </row>
    <row r="80" spans="1:10" x14ac:dyDescent="0.3">
      <c r="A80" s="4">
        <f>IF(LoanIsGood,IF(ROW()-ROW(PaymentSchedule[[#Headers],[PMT NO]])&gt;ScheduledNumberOfPayments,"",ROW()-ROW(PaymentSchedule[[#Headers],[PMT NO]])),"")</f>
        <v>65</v>
      </c>
      <c r="B80" s="24">
        <f>IF(PaymentSchedule[[#This Row],[PMT NO]]&lt;&gt;"",EOMONTH(LoanStartDate,ROW(PaymentSchedule[[#This Row],[PMT NO]])-ROW(PaymentSchedule[[#Headers],[PMT NO]])-2)+DAY(LoanStartDate),"")</f>
        <v>47041</v>
      </c>
      <c r="C80" s="25">
        <f>IF(PaymentSchedule[[#This Row],[PMT NO]]&lt;&gt;"",IF(ROW()-ROW(PaymentSchedule[[#Headers],[BEGINNING BALANCE]])=1,LoanAmount,INDEX(PaymentSchedule[ENDING BALANCE],ROW()-ROW(PaymentSchedule[[#Headers],[BEGINNING BALANCE]])-1)),"")</f>
        <v>5040.0794828080598</v>
      </c>
      <c r="D80" s="25">
        <f>IF(PaymentSchedule[[#This Row],[PMT NO]]&lt;&gt;"",ScheduledPayment,"")</f>
        <v>96.560744698389513</v>
      </c>
      <c r="E8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0" s="25">
        <f>IF(PaymentSchedule[[#This Row],[PMT NO]]&lt;&gt;"",PaymentSchedule[[#This Row],[TOTAL PAYMENT]]-PaymentSchedule[[#This Row],[INTEREST]],"")</f>
        <v>83.960545991369358</v>
      </c>
      <c r="H80" s="25">
        <f>IF(PaymentSchedule[[#This Row],[PMT NO]]&lt;&gt;"",PaymentSchedule[[#This Row],[BEGINNING BALANCE]]*(InterestRate/PaymentsPerYear),"")</f>
        <v>12.60019870702015</v>
      </c>
      <c r="I8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4956.1189368166906</v>
      </c>
      <c r="J80" s="25">
        <f>IF(PaymentSchedule[[#This Row],[PMT NO]]&lt;&gt;"",SUM(INDEX(PaymentSchedule[INTEREST],1,1):PaymentSchedule[[#This Row],[INTEREST]]),"")</f>
        <v>1232.5673422120103</v>
      </c>
    </row>
    <row r="81" spans="1:10" x14ac:dyDescent="0.3">
      <c r="A81" s="4">
        <f>IF(LoanIsGood,IF(ROW()-ROW(PaymentSchedule[[#Headers],[PMT NO]])&gt;ScheduledNumberOfPayments,"",ROW()-ROW(PaymentSchedule[[#Headers],[PMT NO]])),"")</f>
        <v>66</v>
      </c>
      <c r="B81" s="24">
        <f>IF(PaymentSchedule[[#This Row],[PMT NO]]&lt;&gt;"",EOMONTH(LoanStartDate,ROW(PaymentSchedule[[#This Row],[PMT NO]])-ROW(PaymentSchedule[[#Headers],[PMT NO]])-2)+DAY(LoanStartDate),"")</f>
        <v>47072</v>
      </c>
      <c r="C81" s="25">
        <f>IF(PaymentSchedule[[#This Row],[PMT NO]]&lt;&gt;"",IF(ROW()-ROW(PaymentSchedule[[#Headers],[BEGINNING BALANCE]])=1,LoanAmount,INDEX(PaymentSchedule[ENDING BALANCE],ROW()-ROW(PaymentSchedule[[#Headers],[BEGINNING BALANCE]])-1)),"")</f>
        <v>4956.1189368166906</v>
      </c>
      <c r="D81" s="25">
        <f>IF(PaymentSchedule[[#This Row],[PMT NO]]&lt;&gt;"",ScheduledPayment,"")</f>
        <v>96.560744698389513</v>
      </c>
      <c r="E8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1" s="25">
        <f>IF(PaymentSchedule[[#This Row],[PMT NO]]&lt;&gt;"",PaymentSchedule[[#This Row],[TOTAL PAYMENT]]-PaymentSchedule[[#This Row],[INTEREST]],"")</f>
        <v>84.170447356347779</v>
      </c>
      <c r="H81" s="25">
        <f>IF(PaymentSchedule[[#This Row],[PMT NO]]&lt;&gt;"",PaymentSchedule[[#This Row],[BEGINNING BALANCE]]*(InterestRate/PaymentsPerYear),"")</f>
        <v>12.390297342041727</v>
      </c>
      <c r="I8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4871.9484894603429</v>
      </c>
      <c r="J81" s="25">
        <f>IF(PaymentSchedule[[#This Row],[PMT NO]]&lt;&gt;"",SUM(INDEX(PaymentSchedule[INTEREST],1,1):PaymentSchedule[[#This Row],[INTEREST]]),"")</f>
        <v>1244.9576395540521</v>
      </c>
    </row>
    <row r="82" spans="1:10" x14ac:dyDescent="0.3">
      <c r="A82" s="4">
        <f>IF(LoanIsGood,IF(ROW()-ROW(PaymentSchedule[[#Headers],[PMT NO]])&gt;ScheduledNumberOfPayments,"",ROW()-ROW(PaymentSchedule[[#Headers],[PMT NO]])),"")</f>
        <v>67</v>
      </c>
      <c r="B82" s="24">
        <f>IF(PaymentSchedule[[#This Row],[PMT NO]]&lt;&gt;"",EOMONTH(LoanStartDate,ROW(PaymentSchedule[[#This Row],[PMT NO]])-ROW(PaymentSchedule[[#Headers],[PMT NO]])-2)+DAY(LoanStartDate),"")</f>
        <v>47102</v>
      </c>
      <c r="C82" s="25">
        <f>IF(PaymentSchedule[[#This Row],[PMT NO]]&lt;&gt;"",IF(ROW()-ROW(PaymentSchedule[[#Headers],[BEGINNING BALANCE]])=1,LoanAmount,INDEX(PaymentSchedule[ENDING BALANCE],ROW()-ROW(PaymentSchedule[[#Headers],[BEGINNING BALANCE]])-1)),"")</f>
        <v>4871.9484894603429</v>
      </c>
      <c r="D82" s="25">
        <f>IF(PaymentSchedule[[#This Row],[PMT NO]]&lt;&gt;"",ScheduledPayment,"")</f>
        <v>96.560744698389513</v>
      </c>
      <c r="E8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2" s="25">
        <f>IF(PaymentSchedule[[#This Row],[PMT NO]]&lt;&gt;"",PaymentSchedule[[#This Row],[TOTAL PAYMENT]]-PaymentSchedule[[#This Row],[INTEREST]],"")</f>
        <v>84.38087347473865</v>
      </c>
      <c r="H82" s="25">
        <f>IF(PaymentSchedule[[#This Row],[PMT NO]]&lt;&gt;"",PaymentSchedule[[#This Row],[BEGINNING BALANCE]]*(InterestRate/PaymentsPerYear),"")</f>
        <v>12.179871223650858</v>
      </c>
      <c r="I8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4787.5676159856039</v>
      </c>
      <c r="J82" s="25">
        <f>IF(PaymentSchedule[[#This Row],[PMT NO]]&lt;&gt;"",SUM(INDEX(PaymentSchedule[INTEREST],1,1):PaymentSchedule[[#This Row],[INTEREST]]),"")</f>
        <v>1257.137510777703</v>
      </c>
    </row>
    <row r="83" spans="1:10" x14ac:dyDescent="0.3">
      <c r="A83" s="4">
        <f>IF(LoanIsGood,IF(ROW()-ROW(PaymentSchedule[[#Headers],[PMT NO]])&gt;ScheduledNumberOfPayments,"",ROW()-ROW(PaymentSchedule[[#Headers],[PMT NO]])),"")</f>
        <v>68</v>
      </c>
      <c r="B83" s="24">
        <f>IF(PaymentSchedule[[#This Row],[PMT NO]]&lt;&gt;"",EOMONTH(LoanStartDate,ROW(PaymentSchedule[[#This Row],[PMT NO]])-ROW(PaymentSchedule[[#Headers],[PMT NO]])-2)+DAY(LoanStartDate),"")</f>
        <v>47133</v>
      </c>
      <c r="C83" s="25">
        <f>IF(PaymentSchedule[[#This Row],[PMT NO]]&lt;&gt;"",IF(ROW()-ROW(PaymentSchedule[[#Headers],[BEGINNING BALANCE]])=1,LoanAmount,INDEX(PaymentSchedule[ENDING BALANCE],ROW()-ROW(PaymentSchedule[[#Headers],[BEGINNING BALANCE]])-1)),"")</f>
        <v>4787.5676159856039</v>
      </c>
      <c r="D83" s="25">
        <f>IF(PaymentSchedule[[#This Row],[PMT NO]]&lt;&gt;"",ScheduledPayment,"")</f>
        <v>96.560744698389513</v>
      </c>
      <c r="E8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3" s="25">
        <f>IF(PaymentSchedule[[#This Row],[PMT NO]]&lt;&gt;"",PaymentSchedule[[#This Row],[TOTAL PAYMENT]]-PaymentSchedule[[#This Row],[INTEREST]],"")</f>
        <v>84.591825658425506</v>
      </c>
      <c r="H83" s="25">
        <f>IF(PaymentSchedule[[#This Row],[PMT NO]]&lt;&gt;"",PaymentSchedule[[#This Row],[BEGINNING BALANCE]]*(InterestRate/PaymentsPerYear),"")</f>
        <v>11.96891903996401</v>
      </c>
      <c r="I8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4702.9757903271784</v>
      </c>
      <c r="J83" s="25">
        <f>IF(PaymentSchedule[[#This Row],[PMT NO]]&lt;&gt;"",SUM(INDEX(PaymentSchedule[INTEREST],1,1):PaymentSchedule[[#This Row],[INTEREST]]),"")</f>
        <v>1269.106429817667</v>
      </c>
    </row>
    <row r="84" spans="1:10" x14ac:dyDescent="0.3">
      <c r="A84" s="4">
        <f>IF(LoanIsGood,IF(ROW()-ROW(PaymentSchedule[[#Headers],[PMT NO]])&gt;ScheduledNumberOfPayments,"",ROW()-ROW(PaymentSchedule[[#Headers],[PMT NO]])),"")</f>
        <v>69</v>
      </c>
      <c r="B84" s="24">
        <f>IF(PaymentSchedule[[#This Row],[PMT NO]]&lt;&gt;"",EOMONTH(LoanStartDate,ROW(PaymentSchedule[[#This Row],[PMT NO]])-ROW(PaymentSchedule[[#Headers],[PMT NO]])-2)+DAY(LoanStartDate),"")</f>
        <v>47164</v>
      </c>
      <c r="C84" s="25">
        <f>IF(PaymentSchedule[[#This Row],[PMT NO]]&lt;&gt;"",IF(ROW()-ROW(PaymentSchedule[[#Headers],[BEGINNING BALANCE]])=1,LoanAmount,INDEX(PaymentSchedule[ENDING BALANCE],ROW()-ROW(PaymentSchedule[[#Headers],[BEGINNING BALANCE]])-1)),"")</f>
        <v>4702.9757903271784</v>
      </c>
      <c r="D84" s="25">
        <f>IF(PaymentSchedule[[#This Row],[PMT NO]]&lt;&gt;"",ScheduledPayment,"")</f>
        <v>96.560744698389513</v>
      </c>
      <c r="E8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4" s="25">
        <f>IF(PaymentSchedule[[#This Row],[PMT NO]]&lt;&gt;"",PaymentSchedule[[#This Row],[TOTAL PAYMENT]]-PaymentSchedule[[#This Row],[INTEREST]],"")</f>
        <v>84.803305222571566</v>
      </c>
      <c r="H84" s="25">
        <f>IF(PaymentSchedule[[#This Row],[PMT NO]]&lt;&gt;"",PaymentSchedule[[#This Row],[BEGINNING BALANCE]]*(InterestRate/PaymentsPerYear),"")</f>
        <v>11.757439475817947</v>
      </c>
      <c r="I8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4618.1724851046065</v>
      </c>
      <c r="J84" s="25">
        <f>IF(PaymentSchedule[[#This Row],[PMT NO]]&lt;&gt;"",SUM(INDEX(PaymentSchedule[INTEREST],1,1):PaymentSchedule[[#This Row],[INTEREST]]),"")</f>
        <v>1280.8638692934851</v>
      </c>
    </row>
    <row r="85" spans="1:10" x14ac:dyDescent="0.3">
      <c r="A85" s="4">
        <f>IF(LoanIsGood,IF(ROW()-ROW(PaymentSchedule[[#Headers],[PMT NO]])&gt;ScheduledNumberOfPayments,"",ROW()-ROW(PaymentSchedule[[#Headers],[PMT NO]])),"")</f>
        <v>70</v>
      </c>
      <c r="B85" s="24">
        <f>IF(PaymentSchedule[[#This Row],[PMT NO]]&lt;&gt;"",EOMONTH(LoanStartDate,ROW(PaymentSchedule[[#This Row],[PMT NO]])-ROW(PaymentSchedule[[#Headers],[PMT NO]])-2)+DAY(LoanStartDate),"")</f>
        <v>47192</v>
      </c>
      <c r="C85" s="25">
        <f>IF(PaymentSchedule[[#This Row],[PMT NO]]&lt;&gt;"",IF(ROW()-ROW(PaymentSchedule[[#Headers],[BEGINNING BALANCE]])=1,LoanAmount,INDEX(PaymentSchedule[ENDING BALANCE],ROW()-ROW(PaymentSchedule[[#Headers],[BEGINNING BALANCE]])-1)),"")</f>
        <v>4618.1724851046065</v>
      </c>
      <c r="D85" s="25">
        <f>IF(PaymentSchedule[[#This Row],[PMT NO]]&lt;&gt;"",ScheduledPayment,"")</f>
        <v>96.560744698389513</v>
      </c>
      <c r="E8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5" s="25">
        <f>IF(PaymentSchedule[[#This Row],[PMT NO]]&lt;&gt;"",PaymentSchedule[[#This Row],[TOTAL PAYMENT]]-PaymentSchedule[[#This Row],[INTEREST]],"")</f>
        <v>85.015313485627999</v>
      </c>
      <c r="H85" s="25">
        <f>IF(PaymentSchedule[[#This Row],[PMT NO]]&lt;&gt;"",PaymentSchedule[[#This Row],[BEGINNING BALANCE]]*(InterestRate/PaymentsPerYear),"")</f>
        <v>11.545431212761516</v>
      </c>
      <c r="I8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4533.1571716189783</v>
      </c>
      <c r="J85" s="25">
        <f>IF(PaymentSchedule[[#This Row],[PMT NO]]&lt;&gt;"",SUM(INDEX(PaymentSchedule[INTEREST],1,1):PaymentSchedule[[#This Row],[INTEREST]]),"")</f>
        <v>1292.4093005062466</v>
      </c>
    </row>
    <row r="86" spans="1:10" x14ac:dyDescent="0.3">
      <c r="A86" s="4">
        <f>IF(LoanIsGood,IF(ROW()-ROW(PaymentSchedule[[#Headers],[PMT NO]])&gt;ScheduledNumberOfPayments,"",ROW()-ROW(PaymentSchedule[[#Headers],[PMT NO]])),"")</f>
        <v>71</v>
      </c>
      <c r="B86" s="24">
        <f>IF(PaymentSchedule[[#This Row],[PMT NO]]&lt;&gt;"",EOMONTH(LoanStartDate,ROW(PaymentSchedule[[#This Row],[PMT NO]])-ROW(PaymentSchedule[[#Headers],[PMT NO]])-2)+DAY(LoanStartDate),"")</f>
        <v>47223</v>
      </c>
      <c r="C86" s="25">
        <f>IF(PaymentSchedule[[#This Row],[PMT NO]]&lt;&gt;"",IF(ROW()-ROW(PaymentSchedule[[#Headers],[BEGINNING BALANCE]])=1,LoanAmount,INDEX(PaymentSchedule[ENDING BALANCE],ROW()-ROW(PaymentSchedule[[#Headers],[BEGINNING BALANCE]])-1)),"")</f>
        <v>4533.1571716189783</v>
      </c>
      <c r="D86" s="25">
        <f>IF(PaymentSchedule[[#This Row],[PMT NO]]&lt;&gt;"",ScheduledPayment,"")</f>
        <v>96.560744698389513</v>
      </c>
      <c r="E8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6" s="25">
        <f>IF(PaymentSchedule[[#This Row],[PMT NO]]&lt;&gt;"",PaymentSchedule[[#This Row],[TOTAL PAYMENT]]-PaymentSchedule[[#This Row],[INTEREST]],"")</f>
        <v>85.227851769342067</v>
      </c>
      <c r="H86" s="25">
        <f>IF(PaymentSchedule[[#This Row],[PMT NO]]&lt;&gt;"",PaymentSchedule[[#This Row],[BEGINNING BALANCE]]*(InterestRate/PaymentsPerYear),"")</f>
        <v>11.332892929047446</v>
      </c>
      <c r="I8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4447.9293198496362</v>
      </c>
      <c r="J86" s="25">
        <f>IF(PaymentSchedule[[#This Row],[PMT NO]]&lt;&gt;"",SUM(INDEX(PaymentSchedule[INTEREST],1,1):PaymentSchedule[[#This Row],[INTEREST]]),"")</f>
        <v>1303.742193435294</v>
      </c>
    </row>
    <row r="87" spans="1:10" x14ac:dyDescent="0.3">
      <c r="A87" s="4">
        <f>IF(LoanIsGood,IF(ROW()-ROW(PaymentSchedule[[#Headers],[PMT NO]])&gt;ScheduledNumberOfPayments,"",ROW()-ROW(PaymentSchedule[[#Headers],[PMT NO]])),"")</f>
        <v>72</v>
      </c>
      <c r="B87" s="24">
        <f>IF(PaymentSchedule[[#This Row],[PMT NO]]&lt;&gt;"",EOMONTH(LoanStartDate,ROW(PaymentSchedule[[#This Row],[PMT NO]])-ROW(PaymentSchedule[[#Headers],[PMT NO]])-2)+DAY(LoanStartDate),"")</f>
        <v>47253</v>
      </c>
      <c r="C87" s="25">
        <f>IF(PaymentSchedule[[#This Row],[PMT NO]]&lt;&gt;"",IF(ROW()-ROW(PaymentSchedule[[#Headers],[BEGINNING BALANCE]])=1,LoanAmount,INDEX(PaymentSchedule[ENDING BALANCE],ROW()-ROW(PaymentSchedule[[#Headers],[BEGINNING BALANCE]])-1)),"")</f>
        <v>4447.9293198496362</v>
      </c>
      <c r="D87" s="25">
        <f>IF(PaymentSchedule[[#This Row],[PMT NO]]&lt;&gt;"",ScheduledPayment,"")</f>
        <v>96.560744698389513</v>
      </c>
      <c r="E8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7" s="25">
        <f>IF(PaymentSchedule[[#This Row],[PMT NO]]&lt;&gt;"",PaymentSchedule[[#This Row],[TOTAL PAYMENT]]-PaymentSchedule[[#This Row],[INTEREST]],"")</f>
        <v>85.440921398765425</v>
      </c>
      <c r="H87" s="25">
        <f>IF(PaymentSchedule[[#This Row],[PMT NO]]&lt;&gt;"",PaymentSchedule[[#This Row],[BEGINNING BALANCE]]*(InterestRate/PaymentsPerYear),"")</f>
        <v>11.119823299624091</v>
      </c>
      <c r="I8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4362.4883984508706</v>
      </c>
      <c r="J87" s="25">
        <f>IF(PaymentSchedule[[#This Row],[PMT NO]]&lt;&gt;"",SUM(INDEX(PaymentSchedule[INTEREST],1,1):PaymentSchedule[[#This Row],[INTEREST]]),"")</f>
        <v>1314.8620167349181</v>
      </c>
    </row>
    <row r="88" spans="1:10" x14ac:dyDescent="0.3">
      <c r="A88" s="4">
        <f>IF(LoanIsGood,IF(ROW()-ROW(PaymentSchedule[[#Headers],[PMT NO]])&gt;ScheduledNumberOfPayments,"",ROW()-ROW(PaymentSchedule[[#Headers],[PMT NO]])),"")</f>
        <v>73</v>
      </c>
      <c r="B88" s="24">
        <f>IF(PaymentSchedule[[#This Row],[PMT NO]]&lt;&gt;"",EOMONTH(LoanStartDate,ROW(PaymentSchedule[[#This Row],[PMT NO]])-ROW(PaymentSchedule[[#Headers],[PMT NO]])-2)+DAY(LoanStartDate),"")</f>
        <v>47284</v>
      </c>
      <c r="C88" s="25">
        <f>IF(PaymentSchedule[[#This Row],[PMT NO]]&lt;&gt;"",IF(ROW()-ROW(PaymentSchedule[[#Headers],[BEGINNING BALANCE]])=1,LoanAmount,INDEX(PaymentSchedule[ENDING BALANCE],ROW()-ROW(PaymentSchedule[[#Headers],[BEGINNING BALANCE]])-1)),"")</f>
        <v>4362.4883984508706</v>
      </c>
      <c r="D88" s="25">
        <f>IF(PaymentSchedule[[#This Row],[PMT NO]]&lt;&gt;"",ScheduledPayment,"")</f>
        <v>96.560744698389513</v>
      </c>
      <c r="E8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8" s="25">
        <f>IF(PaymentSchedule[[#This Row],[PMT NO]]&lt;&gt;"",PaymentSchedule[[#This Row],[TOTAL PAYMENT]]-PaymentSchedule[[#This Row],[INTEREST]],"")</f>
        <v>85.654523702262338</v>
      </c>
      <c r="H88" s="25">
        <f>IF(PaymentSchedule[[#This Row],[PMT NO]]&lt;&gt;"",PaymentSchedule[[#This Row],[BEGINNING BALANCE]]*(InterestRate/PaymentsPerYear),"")</f>
        <v>10.906220996127177</v>
      </c>
      <c r="I8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4276.8338747486087</v>
      </c>
      <c r="J88" s="25">
        <f>IF(PaymentSchedule[[#This Row],[PMT NO]]&lt;&gt;"",SUM(INDEX(PaymentSchedule[INTEREST],1,1):PaymentSchedule[[#This Row],[INTEREST]]),"")</f>
        <v>1325.7682377310452</v>
      </c>
    </row>
    <row r="89" spans="1:10" x14ac:dyDescent="0.3">
      <c r="A89" s="4">
        <f>IF(LoanIsGood,IF(ROW()-ROW(PaymentSchedule[[#Headers],[PMT NO]])&gt;ScheduledNumberOfPayments,"",ROW()-ROW(PaymentSchedule[[#Headers],[PMT NO]])),"")</f>
        <v>74</v>
      </c>
      <c r="B89" s="24">
        <f>IF(PaymentSchedule[[#This Row],[PMT NO]]&lt;&gt;"",EOMONTH(LoanStartDate,ROW(PaymentSchedule[[#This Row],[PMT NO]])-ROW(PaymentSchedule[[#Headers],[PMT NO]])-2)+DAY(LoanStartDate),"")</f>
        <v>47314</v>
      </c>
      <c r="C89" s="25">
        <f>IF(PaymentSchedule[[#This Row],[PMT NO]]&lt;&gt;"",IF(ROW()-ROW(PaymentSchedule[[#Headers],[BEGINNING BALANCE]])=1,LoanAmount,INDEX(PaymentSchedule[ENDING BALANCE],ROW()-ROW(PaymentSchedule[[#Headers],[BEGINNING BALANCE]])-1)),"")</f>
        <v>4276.8338747486087</v>
      </c>
      <c r="D89" s="25">
        <f>IF(PaymentSchedule[[#This Row],[PMT NO]]&lt;&gt;"",ScheduledPayment,"")</f>
        <v>96.560744698389513</v>
      </c>
      <c r="E8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8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89" s="25">
        <f>IF(PaymentSchedule[[#This Row],[PMT NO]]&lt;&gt;"",PaymentSchedule[[#This Row],[TOTAL PAYMENT]]-PaymentSchedule[[#This Row],[INTEREST]],"")</f>
        <v>85.868660011517989</v>
      </c>
      <c r="H89" s="25">
        <f>IF(PaymentSchedule[[#This Row],[PMT NO]]&lt;&gt;"",PaymentSchedule[[#This Row],[BEGINNING BALANCE]]*(InterestRate/PaymentsPerYear),"")</f>
        <v>10.692084686871523</v>
      </c>
      <c r="I8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4190.9652147370907</v>
      </c>
      <c r="J89" s="25">
        <f>IF(PaymentSchedule[[#This Row],[PMT NO]]&lt;&gt;"",SUM(INDEX(PaymentSchedule[INTEREST],1,1):PaymentSchedule[[#This Row],[INTEREST]]),"")</f>
        <v>1336.4603224179168</v>
      </c>
    </row>
    <row r="90" spans="1:10" x14ac:dyDescent="0.3">
      <c r="A90" s="4">
        <f>IF(LoanIsGood,IF(ROW()-ROW(PaymentSchedule[[#Headers],[PMT NO]])&gt;ScheduledNumberOfPayments,"",ROW()-ROW(PaymentSchedule[[#Headers],[PMT NO]])),"")</f>
        <v>75</v>
      </c>
      <c r="B90" s="24">
        <f>IF(PaymentSchedule[[#This Row],[PMT NO]]&lt;&gt;"",EOMONTH(LoanStartDate,ROW(PaymentSchedule[[#This Row],[PMT NO]])-ROW(PaymentSchedule[[#Headers],[PMT NO]])-2)+DAY(LoanStartDate),"")</f>
        <v>47345</v>
      </c>
      <c r="C90" s="25">
        <f>IF(PaymentSchedule[[#This Row],[PMT NO]]&lt;&gt;"",IF(ROW()-ROW(PaymentSchedule[[#Headers],[BEGINNING BALANCE]])=1,LoanAmount,INDEX(PaymentSchedule[ENDING BALANCE],ROW()-ROW(PaymentSchedule[[#Headers],[BEGINNING BALANCE]])-1)),"")</f>
        <v>4190.9652147370907</v>
      </c>
      <c r="D90" s="25">
        <f>IF(PaymentSchedule[[#This Row],[PMT NO]]&lt;&gt;"",ScheduledPayment,"")</f>
        <v>96.560744698389513</v>
      </c>
      <c r="E9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0" s="25">
        <f>IF(PaymentSchedule[[#This Row],[PMT NO]]&lt;&gt;"",PaymentSchedule[[#This Row],[TOTAL PAYMENT]]-PaymentSchedule[[#This Row],[INTEREST]],"")</f>
        <v>86.083331661546794</v>
      </c>
      <c r="H90" s="25">
        <f>IF(PaymentSchedule[[#This Row],[PMT NO]]&lt;&gt;"",PaymentSchedule[[#This Row],[BEGINNING BALANCE]]*(InterestRate/PaymentsPerYear),"")</f>
        <v>10.477413036842727</v>
      </c>
      <c r="I9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4104.8818830755436</v>
      </c>
      <c r="J90" s="25">
        <f>IF(PaymentSchedule[[#This Row],[PMT NO]]&lt;&gt;"",SUM(INDEX(PaymentSchedule[INTEREST],1,1):PaymentSchedule[[#This Row],[INTEREST]]),"")</f>
        <v>1346.9377354547596</v>
      </c>
    </row>
    <row r="91" spans="1:10" x14ac:dyDescent="0.3">
      <c r="A91" s="4">
        <f>IF(LoanIsGood,IF(ROW()-ROW(PaymentSchedule[[#Headers],[PMT NO]])&gt;ScheduledNumberOfPayments,"",ROW()-ROW(PaymentSchedule[[#Headers],[PMT NO]])),"")</f>
        <v>76</v>
      </c>
      <c r="B91" s="24">
        <f>IF(PaymentSchedule[[#This Row],[PMT NO]]&lt;&gt;"",EOMONTH(LoanStartDate,ROW(PaymentSchedule[[#This Row],[PMT NO]])-ROW(PaymentSchedule[[#Headers],[PMT NO]])-2)+DAY(LoanStartDate),"")</f>
        <v>47376</v>
      </c>
      <c r="C91" s="25">
        <f>IF(PaymentSchedule[[#This Row],[PMT NO]]&lt;&gt;"",IF(ROW()-ROW(PaymentSchedule[[#Headers],[BEGINNING BALANCE]])=1,LoanAmount,INDEX(PaymentSchedule[ENDING BALANCE],ROW()-ROW(PaymentSchedule[[#Headers],[BEGINNING BALANCE]])-1)),"")</f>
        <v>4104.8818830755436</v>
      </c>
      <c r="D91" s="25">
        <f>IF(PaymentSchedule[[#This Row],[PMT NO]]&lt;&gt;"",ScheduledPayment,"")</f>
        <v>96.560744698389513</v>
      </c>
      <c r="E9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1" s="25">
        <f>IF(PaymentSchedule[[#This Row],[PMT NO]]&lt;&gt;"",PaymentSchedule[[#This Row],[TOTAL PAYMENT]]-PaymentSchedule[[#This Row],[INTEREST]],"")</f>
        <v>86.298539990700647</v>
      </c>
      <c r="H91" s="25">
        <f>IF(PaymentSchedule[[#This Row],[PMT NO]]&lt;&gt;"",PaymentSchedule[[#This Row],[BEGINNING BALANCE]]*(InterestRate/PaymentsPerYear),"")</f>
        <v>10.262204707688859</v>
      </c>
      <c r="I9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4018.5833430848429</v>
      </c>
      <c r="J91" s="25">
        <f>IF(PaymentSchedule[[#This Row],[PMT NO]]&lt;&gt;"",SUM(INDEX(PaymentSchedule[INTEREST],1,1):PaymentSchedule[[#This Row],[INTEREST]]),"")</f>
        <v>1357.1999401624485</v>
      </c>
    </row>
    <row r="92" spans="1:10" x14ac:dyDescent="0.3">
      <c r="A92" s="4">
        <f>IF(LoanIsGood,IF(ROW()-ROW(PaymentSchedule[[#Headers],[PMT NO]])&gt;ScheduledNumberOfPayments,"",ROW()-ROW(PaymentSchedule[[#Headers],[PMT NO]])),"")</f>
        <v>77</v>
      </c>
      <c r="B92" s="24">
        <f>IF(PaymentSchedule[[#This Row],[PMT NO]]&lt;&gt;"",EOMONTH(LoanStartDate,ROW(PaymentSchedule[[#This Row],[PMT NO]])-ROW(PaymentSchedule[[#Headers],[PMT NO]])-2)+DAY(LoanStartDate),"")</f>
        <v>47406</v>
      </c>
      <c r="C92" s="25">
        <f>IF(PaymentSchedule[[#This Row],[PMT NO]]&lt;&gt;"",IF(ROW()-ROW(PaymentSchedule[[#Headers],[BEGINNING BALANCE]])=1,LoanAmount,INDEX(PaymentSchedule[ENDING BALANCE],ROW()-ROW(PaymentSchedule[[#Headers],[BEGINNING BALANCE]])-1)),"")</f>
        <v>4018.5833430848429</v>
      </c>
      <c r="D92" s="25">
        <f>IF(PaymentSchedule[[#This Row],[PMT NO]]&lt;&gt;"",ScheduledPayment,"")</f>
        <v>96.560744698389513</v>
      </c>
      <c r="E9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2" s="25">
        <f>IF(PaymentSchedule[[#This Row],[PMT NO]]&lt;&gt;"",PaymentSchedule[[#This Row],[TOTAL PAYMENT]]-PaymentSchedule[[#This Row],[INTEREST]],"")</f>
        <v>86.514286340677401</v>
      </c>
      <c r="H92" s="25">
        <f>IF(PaymentSchedule[[#This Row],[PMT NO]]&lt;&gt;"",PaymentSchedule[[#This Row],[BEGINNING BALANCE]]*(InterestRate/PaymentsPerYear),"")</f>
        <v>10.046458357712108</v>
      </c>
      <c r="I9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3932.0690567441657</v>
      </c>
      <c r="J92" s="25">
        <f>IF(PaymentSchedule[[#This Row],[PMT NO]]&lt;&gt;"",SUM(INDEX(PaymentSchedule[INTEREST],1,1):PaymentSchedule[[#This Row],[INTEREST]]),"")</f>
        <v>1367.2463985201605</v>
      </c>
    </row>
    <row r="93" spans="1:10" x14ac:dyDescent="0.3">
      <c r="A93" s="4">
        <f>IF(LoanIsGood,IF(ROW()-ROW(PaymentSchedule[[#Headers],[PMT NO]])&gt;ScheduledNumberOfPayments,"",ROW()-ROW(PaymentSchedule[[#Headers],[PMT NO]])),"")</f>
        <v>78</v>
      </c>
      <c r="B93" s="24">
        <f>IF(PaymentSchedule[[#This Row],[PMT NO]]&lt;&gt;"",EOMONTH(LoanStartDate,ROW(PaymentSchedule[[#This Row],[PMT NO]])-ROW(PaymentSchedule[[#Headers],[PMT NO]])-2)+DAY(LoanStartDate),"")</f>
        <v>47437</v>
      </c>
      <c r="C93" s="25">
        <f>IF(PaymentSchedule[[#This Row],[PMT NO]]&lt;&gt;"",IF(ROW()-ROW(PaymentSchedule[[#Headers],[BEGINNING BALANCE]])=1,LoanAmount,INDEX(PaymentSchedule[ENDING BALANCE],ROW()-ROW(PaymentSchedule[[#Headers],[BEGINNING BALANCE]])-1)),"")</f>
        <v>3932.0690567441657</v>
      </c>
      <c r="D93" s="25">
        <f>IF(PaymentSchedule[[#This Row],[PMT NO]]&lt;&gt;"",ScheduledPayment,"")</f>
        <v>96.560744698389513</v>
      </c>
      <c r="E9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3" s="25">
        <f>IF(PaymentSchedule[[#This Row],[PMT NO]]&lt;&gt;"",PaymentSchedule[[#This Row],[TOTAL PAYMENT]]-PaymentSchedule[[#This Row],[INTEREST]],"")</f>
        <v>86.730572056529098</v>
      </c>
      <c r="H93" s="25">
        <f>IF(PaymentSchedule[[#This Row],[PMT NO]]&lt;&gt;"",PaymentSchedule[[#This Row],[BEGINNING BALANCE]]*(InterestRate/PaymentsPerYear),"")</f>
        <v>9.8301726418604147</v>
      </c>
      <c r="I9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3845.3384846876365</v>
      </c>
      <c r="J93" s="25">
        <f>IF(PaymentSchedule[[#This Row],[PMT NO]]&lt;&gt;"",SUM(INDEX(PaymentSchedule[INTEREST],1,1):PaymentSchedule[[#This Row],[INTEREST]]),"")</f>
        <v>1377.0765711620209</v>
      </c>
    </row>
    <row r="94" spans="1:10" x14ac:dyDescent="0.3">
      <c r="A94" s="4">
        <f>IF(LoanIsGood,IF(ROW()-ROW(PaymentSchedule[[#Headers],[PMT NO]])&gt;ScheduledNumberOfPayments,"",ROW()-ROW(PaymentSchedule[[#Headers],[PMT NO]])),"")</f>
        <v>79</v>
      </c>
      <c r="B94" s="24">
        <f>IF(PaymentSchedule[[#This Row],[PMT NO]]&lt;&gt;"",EOMONTH(LoanStartDate,ROW(PaymentSchedule[[#This Row],[PMT NO]])-ROW(PaymentSchedule[[#Headers],[PMT NO]])-2)+DAY(LoanStartDate),"")</f>
        <v>47467</v>
      </c>
      <c r="C94" s="25">
        <f>IF(PaymentSchedule[[#This Row],[PMT NO]]&lt;&gt;"",IF(ROW()-ROW(PaymentSchedule[[#Headers],[BEGINNING BALANCE]])=1,LoanAmount,INDEX(PaymentSchedule[ENDING BALANCE],ROW()-ROW(PaymentSchedule[[#Headers],[BEGINNING BALANCE]])-1)),"")</f>
        <v>3845.3384846876365</v>
      </c>
      <c r="D94" s="25">
        <f>IF(PaymentSchedule[[#This Row],[PMT NO]]&lt;&gt;"",ScheduledPayment,"")</f>
        <v>96.560744698389513</v>
      </c>
      <c r="E9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4" s="25">
        <f>IF(PaymentSchedule[[#This Row],[PMT NO]]&lt;&gt;"",PaymentSchedule[[#This Row],[TOTAL PAYMENT]]-PaymentSchedule[[#This Row],[INTEREST]],"")</f>
        <v>86.947398486670423</v>
      </c>
      <c r="H94" s="25">
        <f>IF(PaymentSchedule[[#This Row],[PMT NO]]&lt;&gt;"",PaymentSchedule[[#This Row],[BEGINNING BALANCE]]*(InterestRate/PaymentsPerYear),"")</f>
        <v>9.613346211719092</v>
      </c>
      <c r="I9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3758.3910862009661</v>
      </c>
      <c r="J94" s="25">
        <f>IF(PaymentSchedule[[#This Row],[PMT NO]]&lt;&gt;"",SUM(INDEX(PaymentSchedule[INTEREST],1,1):PaymentSchedule[[#This Row],[INTEREST]]),"")</f>
        <v>1386.6899173737399</v>
      </c>
    </row>
    <row r="95" spans="1:10" x14ac:dyDescent="0.3">
      <c r="A95" s="4">
        <f>IF(LoanIsGood,IF(ROW()-ROW(PaymentSchedule[[#Headers],[PMT NO]])&gt;ScheduledNumberOfPayments,"",ROW()-ROW(PaymentSchedule[[#Headers],[PMT NO]])),"")</f>
        <v>80</v>
      </c>
      <c r="B95" s="24">
        <f>IF(PaymentSchedule[[#This Row],[PMT NO]]&lt;&gt;"",EOMONTH(LoanStartDate,ROW(PaymentSchedule[[#This Row],[PMT NO]])-ROW(PaymentSchedule[[#Headers],[PMT NO]])-2)+DAY(LoanStartDate),"")</f>
        <v>47498</v>
      </c>
      <c r="C95" s="25">
        <f>IF(PaymentSchedule[[#This Row],[PMT NO]]&lt;&gt;"",IF(ROW()-ROW(PaymentSchedule[[#Headers],[BEGINNING BALANCE]])=1,LoanAmount,INDEX(PaymentSchedule[ENDING BALANCE],ROW()-ROW(PaymentSchedule[[#Headers],[BEGINNING BALANCE]])-1)),"")</f>
        <v>3758.3910862009661</v>
      </c>
      <c r="D95" s="25">
        <f>IF(PaymentSchedule[[#This Row],[PMT NO]]&lt;&gt;"",ScheduledPayment,"")</f>
        <v>96.560744698389513</v>
      </c>
      <c r="E9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5" s="25">
        <f>IF(PaymentSchedule[[#This Row],[PMT NO]]&lt;&gt;"",PaymentSchedule[[#This Row],[TOTAL PAYMENT]]-PaymentSchedule[[#This Row],[INTEREST]],"")</f>
        <v>87.164766982887102</v>
      </c>
      <c r="H95" s="25">
        <f>IF(PaymentSchedule[[#This Row],[PMT NO]]&lt;&gt;"",PaymentSchedule[[#This Row],[BEGINNING BALANCE]]*(InterestRate/PaymentsPerYear),"")</f>
        <v>9.3959777155024149</v>
      </c>
      <c r="I9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3671.226319218079</v>
      </c>
      <c r="J95" s="25">
        <f>IF(PaymentSchedule[[#This Row],[PMT NO]]&lt;&gt;"",SUM(INDEX(PaymentSchedule[INTEREST],1,1):PaymentSchedule[[#This Row],[INTEREST]]),"")</f>
        <v>1396.0858950892423</v>
      </c>
    </row>
    <row r="96" spans="1:10" x14ac:dyDescent="0.3">
      <c r="A96" s="4">
        <f>IF(LoanIsGood,IF(ROW()-ROW(PaymentSchedule[[#Headers],[PMT NO]])&gt;ScheduledNumberOfPayments,"",ROW()-ROW(PaymentSchedule[[#Headers],[PMT NO]])),"")</f>
        <v>81</v>
      </c>
      <c r="B96" s="24">
        <f>IF(PaymentSchedule[[#This Row],[PMT NO]]&lt;&gt;"",EOMONTH(LoanStartDate,ROW(PaymentSchedule[[#This Row],[PMT NO]])-ROW(PaymentSchedule[[#Headers],[PMT NO]])-2)+DAY(LoanStartDate),"")</f>
        <v>47529</v>
      </c>
      <c r="C96" s="25">
        <f>IF(PaymentSchedule[[#This Row],[PMT NO]]&lt;&gt;"",IF(ROW()-ROW(PaymentSchedule[[#Headers],[BEGINNING BALANCE]])=1,LoanAmount,INDEX(PaymentSchedule[ENDING BALANCE],ROW()-ROW(PaymentSchedule[[#Headers],[BEGINNING BALANCE]])-1)),"")</f>
        <v>3671.226319218079</v>
      </c>
      <c r="D96" s="25">
        <f>IF(PaymentSchedule[[#This Row],[PMT NO]]&lt;&gt;"",ScheduledPayment,"")</f>
        <v>96.560744698389513</v>
      </c>
      <c r="E9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6" s="25">
        <f>IF(PaymentSchedule[[#This Row],[PMT NO]]&lt;&gt;"",PaymentSchedule[[#This Row],[TOTAL PAYMENT]]-PaymentSchedule[[#This Row],[INTEREST]],"")</f>
        <v>87.382678900344317</v>
      </c>
      <c r="H96" s="25">
        <f>IF(PaymentSchedule[[#This Row],[PMT NO]]&lt;&gt;"",PaymentSchedule[[#This Row],[BEGINNING BALANCE]]*(InterestRate/PaymentsPerYear),"")</f>
        <v>9.1780657980451981</v>
      </c>
      <c r="I9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3583.8436403177348</v>
      </c>
      <c r="J96" s="25">
        <f>IF(PaymentSchedule[[#This Row],[PMT NO]]&lt;&gt;"",SUM(INDEX(PaymentSchedule[INTEREST],1,1):PaymentSchedule[[#This Row],[INTEREST]]),"")</f>
        <v>1405.2639608872876</v>
      </c>
    </row>
    <row r="97" spans="1:10" x14ac:dyDescent="0.3">
      <c r="A97" s="4">
        <f>IF(LoanIsGood,IF(ROW()-ROW(PaymentSchedule[[#Headers],[PMT NO]])&gt;ScheduledNumberOfPayments,"",ROW()-ROW(PaymentSchedule[[#Headers],[PMT NO]])),"")</f>
        <v>82</v>
      </c>
      <c r="B97" s="24">
        <f>IF(PaymentSchedule[[#This Row],[PMT NO]]&lt;&gt;"",EOMONTH(LoanStartDate,ROW(PaymentSchedule[[#This Row],[PMT NO]])-ROW(PaymentSchedule[[#Headers],[PMT NO]])-2)+DAY(LoanStartDate),"")</f>
        <v>47557</v>
      </c>
      <c r="C97" s="25">
        <f>IF(PaymentSchedule[[#This Row],[PMT NO]]&lt;&gt;"",IF(ROW()-ROW(PaymentSchedule[[#Headers],[BEGINNING BALANCE]])=1,LoanAmount,INDEX(PaymentSchedule[ENDING BALANCE],ROW()-ROW(PaymentSchedule[[#Headers],[BEGINNING BALANCE]])-1)),"")</f>
        <v>3583.8436403177348</v>
      </c>
      <c r="D97" s="25">
        <f>IF(PaymentSchedule[[#This Row],[PMT NO]]&lt;&gt;"",ScheduledPayment,"")</f>
        <v>96.560744698389513</v>
      </c>
      <c r="E9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7" s="25">
        <f>IF(PaymentSchedule[[#This Row],[PMT NO]]&lt;&gt;"",PaymentSchedule[[#This Row],[TOTAL PAYMENT]]-PaymentSchedule[[#This Row],[INTEREST]],"")</f>
        <v>87.601135597595174</v>
      </c>
      <c r="H97" s="25">
        <f>IF(PaymentSchedule[[#This Row],[PMT NO]]&lt;&gt;"",PaymentSchedule[[#This Row],[BEGINNING BALANCE]]*(InterestRate/PaymentsPerYear),"")</f>
        <v>8.9596091007943368</v>
      </c>
      <c r="I9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3496.2425047201396</v>
      </c>
      <c r="J97" s="25">
        <f>IF(PaymentSchedule[[#This Row],[PMT NO]]&lt;&gt;"",SUM(INDEX(PaymentSchedule[INTEREST],1,1):PaymentSchedule[[#This Row],[INTEREST]]),"")</f>
        <v>1414.2235699880819</v>
      </c>
    </row>
    <row r="98" spans="1:10" x14ac:dyDescent="0.3">
      <c r="A98" s="4">
        <f>IF(LoanIsGood,IF(ROW()-ROW(PaymentSchedule[[#Headers],[PMT NO]])&gt;ScheduledNumberOfPayments,"",ROW()-ROW(PaymentSchedule[[#Headers],[PMT NO]])),"")</f>
        <v>83</v>
      </c>
      <c r="B98" s="24">
        <f>IF(PaymentSchedule[[#This Row],[PMT NO]]&lt;&gt;"",EOMONTH(LoanStartDate,ROW(PaymentSchedule[[#This Row],[PMT NO]])-ROW(PaymentSchedule[[#Headers],[PMT NO]])-2)+DAY(LoanStartDate),"")</f>
        <v>47588</v>
      </c>
      <c r="C98" s="25">
        <f>IF(PaymentSchedule[[#This Row],[PMT NO]]&lt;&gt;"",IF(ROW()-ROW(PaymentSchedule[[#Headers],[BEGINNING BALANCE]])=1,LoanAmount,INDEX(PaymentSchedule[ENDING BALANCE],ROW()-ROW(PaymentSchedule[[#Headers],[BEGINNING BALANCE]])-1)),"")</f>
        <v>3496.2425047201396</v>
      </c>
      <c r="D98" s="25">
        <f>IF(PaymentSchedule[[#This Row],[PMT NO]]&lt;&gt;"",ScheduledPayment,"")</f>
        <v>96.560744698389513</v>
      </c>
      <c r="E9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8" s="25">
        <f>IF(PaymentSchedule[[#This Row],[PMT NO]]&lt;&gt;"",PaymentSchedule[[#This Row],[TOTAL PAYMENT]]-PaymentSchedule[[#This Row],[INTEREST]],"")</f>
        <v>87.820138436589161</v>
      </c>
      <c r="H98" s="25">
        <f>IF(PaymentSchedule[[#This Row],[PMT NO]]&lt;&gt;"",PaymentSchedule[[#This Row],[BEGINNING BALANCE]]*(InterestRate/PaymentsPerYear),"")</f>
        <v>8.7406062618003499</v>
      </c>
      <c r="I9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3408.4223662835502</v>
      </c>
      <c r="J98" s="25">
        <f>IF(PaymentSchedule[[#This Row],[PMT NO]]&lt;&gt;"",SUM(INDEX(PaymentSchedule[INTEREST],1,1):PaymentSchedule[[#This Row],[INTEREST]]),"")</f>
        <v>1422.9641762498823</v>
      </c>
    </row>
    <row r="99" spans="1:10" x14ac:dyDescent="0.3">
      <c r="A99" s="4">
        <f>IF(LoanIsGood,IF(ROW()-ROW(PaymentSchedule[[#Headers],[PMT NO]])&gt;ScheduledNumberOfPayments,"",ROW()-ROW(PaymentSchedule[[#Headers],[PMT NO]])),"")</f>
        <v>84</v>
      </c>
      <c r="B99" s="24">
        <f>IF(PaymentSchedule[[#This Row],[PMT NO]]&lt;&gt;"",EOMONTH(LoanStartDate,ROW(PaymentSchedule[[#This Row],[PMT NO]])-ROW(PaymentSchedule[[#Headers],[PMT NO]])-2)+DAY(LoanStartDate),"")</f>
        <v>47618</v>
      </c>
      <c r="C99" s="25">
        <f>IF(PaymentSchedule[[#This Row],[PMT NO]]&lt;&gt;"",IF(ROW()-ROW(PaymentSchedule[[#Headers],[BEGINNING BALANCE]])=1,LoanAmount,INDEX(PaymentSchedule[ENDING BALANCE],ROW()-ROW(PaymentSchedule[[#Headers],[BEGINNING BALANCE]])-1)),"")</f>
        <v>3408.4223662835502</v>
      </c>
      <c r="D99" s="25">
        <f>IF(PaymentSchedule[[#This Row],[PMT NO]]&lt;&gt;"",ScheduledPayment,"")</f>
        <v>96.560744698389513</v>
      </c>
      <c r="E9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9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99" s="25">
        <f>IF(PaymentSchedule[[#This Row],[PMT NO]]&lt;&gt;"",PaymentSchedule[[#This Row],[TOTAL PAYMENT]]-PaymentSchedule[[#This Row],[INTEREST]],"")</f>
        <v>88.039688782680642</v>
      </c>
      <c r="H99" s="25">
        <f>IF(PaymentSchedule[[#This Row],[PMT NO]]&lt;&gt;"",PaymentSchedule[[#This Row],[BEGINNING BALANCE]]*(InterestRate/PaymentsPerYear),"")</f>
        <v>8.5210559157088763</v>
      </c>
      <c r="I9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3320.3826775008697</v>
      </c>
      <c r="J99" s="25">
        <f>IF(PaymentSchedule[[#This Row],[PMT NO]]&lt;&gt;"",SUM(INDEX(PaymentSchedule[INTEREST],1,1):PaymentSchedule[[#This Row],[INTEREST]]),"")</f>
        <v>1431.4852321655912</v>
      </c>
    </row>
    <row r="100" spans="1:10" x14ac:dyDescent="0.3">
      <c r="A100" s="4">
        <f>IF(LoanIsGood,IF(ROW()-ROW(PaymentSchedule[[#Headers],[PMT NO]])&gt;ScheduledNumberOfPayments,"",ROW()-ROW(PaymentSchedule[[#Headers],[PMT NO]])),"")</f>
        <v>85</v>
      </c>
      <c r="B100" s="24">
        <f>IF(PaymentSchedule[[#This Row],[PMT NO]]&lt;&gt;"",EOMONTH(LoanStartDate,ROW(PaymentSchedule[[#This Row],[PMT NO]])-ROW(PaymentSchedule[[#Headers],[PMT NO]])-2)+DAY(LoanStartDate),"")</f>
        <v>47649</v>
      </c>
      <c r="C100" s="25">
        <f>IF(PaymentSchedule[[#This Row],[PMT NO]]&lt;&gt;"",IF(ROW()-ROW(PaymentSchedule[[#Headers],[BEGINNING BALANCE]])=1,LoanAmount,INDEX(PaymentSchedule[ENDING BALANCE],ROW()-ROW(PaymentSchedule[[#Headers],[BEGINNING BALANCE]])-1)),"")</f>
        <v>3320.3826775008697</v>
      </c>
      <c r="D100" s="25">
        <f>IF(PaymentSchedule[[#This Row],[PMT NO]]&lt;&gt;"",ScheduledPayment,"")</f>
        <v>96.560744698389513</v>
      </c>
      <c r="E10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0" s="25">
        <f>IF(PaymentSchedule[[#This Row],[PMT NO]]&lt;&gt;"",PaymentSchedule[[#This Row],[TOTAL PAYMENT]]-PaymentSchedule[[#This Row],[INTEREST]],"")</f>
        <v>88.259788004637343</v>
      </c>
      <c r="H100" s="25">
        <f>IF(PaymentSchedule[[#This Row],[PMT NO]]&lt;&gt;"",PaymentSchedule[[#This Row],[BEGINNING BALANCE]]*(InterestRate/PaymentsPerYear),"")</f>
        <v>8.300956693752175</v>
      </c>
      <c r="I10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3232.1228894962323</v>
      </c>
      <c r="J100" s="25">
        <f>IF(PaymentSchedule[[#This Row],[PMT NO]]&lt;&gt;"",SUM(INDEX(PaymentSchedule[INTEREST],1,1):PaymentSchedule[[#This Row],[INTEREST]]),"")</f>
        <v>1439.7861888593434</v>
      </c>
    </row>
    <row r="101" spans="1:10" x14ac:dyDescent="0.3">
      <c r="A101" s="4">
        <f>IF(LoanIsGood,IF(ROW()-ROW(PaymentSchedule[[#Headers],[PMT NO]])&gt;ScheduledNumberOfPayments,"",ROW()-ROW(PaymentSchedule[[#Headers],[PMT NO]])),"")</f>
        <v>86</v>
      </c>
      <c r="B101" s="24">
        <f>IF(PaymentSchedule[[#This Row],[PMT NO]]&lt;&gt;"",EOMONTH(LoanStartDate,ROW(PaymentSchedule[[#This Row],[PMT NO]])-ROW(PaymentSchedule[[#Headers],[PMT NO]])-2)+DAY(LoanStartDate),"")</f>
        <v>47679</v>
      </c>
      <c r="C101" s="25">
        <f>IF(PaymentSchedule[[#This Row],[PMT NO]]&lt;&gt;"",IF(ROW()-ROW(PaymentSchedule[[#Headers],[BEGINNING BALANCE]])=1,LoanAmount,INDEX(PaymentSchedule[ENDING BALANCE],ROW()-ROW(PaymentSchedule[[#Headers],[BEGINNING BALANCE]])-1)),"")</f>
        <v>3232.1228894962323</v>
      </c>
      <c r="D101" s="25">
        <f>IF(PaymentSchedule[[#This Row],[PMT NO]]&lt;&gt;"",ScheduledPayment,"")</f>
        <v>96.560744698389513</v>
      </c>
      <c r="E10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1" s="25">
        <f>IF(PaymentSchedule[[#This Row],[PMT NO]]&lt;&gt;"",PaymentSchedule[[#This Row],[TOTAL PAYMENT]]-PaymentSchedule[[#This Row],[INTEREST]],"")</f>
        <v>88.480437474648937</v>
      </c>
      <c r="H101" s="25">
        <f>IF(PaymentSchedule[[#This Row],[PMT NO]]&lt;&gt;"",PaymentSchedule[[#This Row],[BEGINNING BALANCE]]*(InterestRate/PaymentsPerYear),"")</f>
        <v>8.0803072237405811</v>
      </c>
      <c r="I10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3143.6424520215833</v>
      </c>
      <c r="J101" s="25">
        <f>IF(PaymentSchedule[[#This Row],[PMT NO]]&lt;&gt;"",SUM(INDEX(PaymentSchedule[INTEREST],1,1):PaymentSchedule[[#This Row],[INTEREST]]),"")</f>
        <v>1447.866496083084</v>
      </c>
    </row>
    <row r="102" spans="1:10" x14ac:dyDescent="0.3">
      <c r="A102" s="4">
        <f>IF(LoanIsGood,IF(ROW()-ROW(PaymentSchedule[[#Headers],[PMT NO]])&gt;ScheduledNumberOfPayments,"",ROW()-ROW(PaymentSchedule[[#Headers],[PMT NO]])),"")</f>
        <v>87</v>
      </c>
      <c r="B102" s="24">
        <f>IF(PaymentSchedule[[#This Row],[PMT NO]]&lt;&gt;"",EOMONTH(LoanStartDate,ROW(PaymentSchedule[[#This Row],[PMT NO]])-ROW(PaymentSchedule[[#Headers],[PMT NO]])-2)+DAY(LoanStartDate),"")</f>
        <v>47710</v>
      </c>
      <c r="C102" s="25">
        <f>IF(PaymentSchedule[[#This Row],[PMT NO]]&lt;&gt;"",IF(ROW()-ROW(PaymentSchedule[[#Headers],[BEGINNING BALANCE]])=1,LoanAmount,INDEX(PaymentSchedule[ENDING BALANCE],ROW()-ROW(PaymentSchedule[[#Headers],[BEGINNING BALANCE]])-1)),"")</f>
        <v>3143.6424520215833</v>
      </c>
      <c r="D102" s="25">
        <f>IF(PaymentSchedule[[#This Row],[PMT NO]]&lt;&gt;"",ScheduledPayment,"")</f>
        <v>96.560744698389513</v>
      </c>
      <c r="E10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2" s="25">
        <f>IF(PaymentSchedule[[#This Row],[PMT NO]]&lt;&gt;"",PaymentSchedule[[#This Row],[TOTAL PAYMENT]]-PaymentSchedule[[#This Row],[INTEREST]],"")</f>
        <v>88.701638568335554</v>
      </c>
      <c r="H102" s="25">
        <f>IF(PaymentSchedule[[#This Row],[PMT NO]]&lt;&gt;"",PaymentSchedule[[#This Row],[BEGINNING BALANCE]]*(InterestRate/PaymentsPerYear),"")</f>
        <v>7.8591061300539584</v>
      </c>
      <c r="I10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3054.9408134532478</v>
      </c>
      <c r="J102" s="25">
        <f>IF(PaymentSchedule[[#This Row],[PMT NO]]&lt;&gt;"",SUM(INDEX(PaymentSchedule[INTEREST],1,1):PaymentSchedule[[#This Row],[INTEREST]]),"")</f>
        <v>1455.725602213138</v>
      </c>
    </row>
    <row r="103" spans="1:10" x14ac:dyDescent="0.3">
      <c r="A103" s="4">
        <f>IF(LoanIsGood,IF(ROW()-ROW(PaymentSchedule[[#Headers],[PMT NO]])&gt;ScheduledNumberOfPayments,"",ROW()-ROW(PaymentSchedule[[#Headers],[PMT NO]])),"")</f>
        <v>88</v>
      </c>
      <c r="B103" s="24">
        <f>IF(PaymentSchedule[[#This Row],[PMT NO]]&lt;&gt;"",EOMONTH(LoanStartDate,ROW(PaymentSchedule[[#This Row],[PMT NO]])-ROW(PaymentSchedule[[#Headers],[PMT NO]])-2)+DAY(LoanStartDate),"")</f>
        <v>47741</v>
      </c>
      <c r="C103" s="25">
        <f>IF(PaymentSchedule[[#This Row],[PMT NO]]&lt;&gt;"",IF(ROW()-ROW(PaymentSchedule[[#Headers],[BEGINNING BALANCE]])=1,LoanAmount,INDEX(PaymentSchedule[ENDING BALANCE],ROW()-ROW(PaymentSchedule[[#Headers],[BEGINNING BALANCE]])-1)),"")</f>
        <v>3054.9408134532478</v>
      </c>
      <c r="D103" s="25">
        <f>IF(PaymentSchedule[[#This Row],[PMT NO]]&lt;&gt;"",ScheduledPayment,"")</f>
        <v>96.560744698389513</v>
      </c>
      <c r="E10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3" s="25">
        <f>IF(PaymentSchedule[[#This Row],[PMT NO]]&lt;&gt;"",PaymentSchedule[[#This Row],[TOTAL PAYMENT]]-PaymentSchedule[[#This Row],[INTEREST]],"")</f>
        <v>88.923392664756392</v>
      </c>
      <c r="H103" s="25">
        <f>IF(PaymentSchedule[[#This Row],[PMT NO]]&lt;&gt;"",PaymentSchedule[[#This Row],[BEGINNING BALANCE]]*(InterestRate/PaymentsPerYear),"")</f>
        <v>7.6373520336331193</v>
      </c>
      <c r="I10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2966.0174207884916</v>
      </c>
      <c r="J103" s="25">
        <f>IF(PaymentSchedule[[#This Row],[PMT NO]]&lt;&gt;"",SUM(INDEX(PaymentSchedule[INTEREST],1,1):PaymentSchedule[[#This Row],[INTEREST]]),"")</f>
        <v>1463.3629542467711</v>
      </c>
    </row>
    <row r="104" spans="1:10" x14ac:dyDescent="0.3">
      <c r="A104" s="4">
        <f>IF(LoanIsGood,IF(ROW()-ROW(PaymentSchedule[[#Headers],[PMT NO]])&gt;ScheduledNumberOfPayments,"",ROW()-ROW(PaymentSchedule[[#Headers],[PMT NO]])),"")</f>
        <v>89</v>
      </c>
      <c r="B104" s="24">
        <f>IF(PaymentSchedule[[#This Row],[PMT NO]]&lt;&gt;"",EOMONTH(LoanStartDate,ROW(PaymentSchedule[[#This Row],[PMT NO]])-ROW(PaymentSchedule[[#Headers],[PMT NO]])-2)+DAY(LoanStartDate),"")</f>
        <v>47771</v>
      </c>
      <c r="C104" s="25">
        <f>IF(PaymentSchedule[[#This Row],[PMT NO]]&lt;&gt;"",IF(ROW()-ROW(PaymentSchedule[[#Headers],[BEGINNING BALANCE]])=1,LoanAmount,INDEX(PaymentSchedule[ENDING BALANCE],ROW()-ROW(PaymentSchedule[[#Headers],[BEGINNING BALANCE]])-1)),"")</f>
        <v>2966.0174207884916</v>
      </c>
      <c r="D104" s="25">
        <f>IF(PaymentSchedule[[#This Row],[PMT NO]]&lt;&gt;"",ScheduledPayment,"")</f>
        <v>96.560744698389513</v>
      </c>
      <c r="E10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4" s="25">
        <f>IF(PaymentSchedule[[#This Row],[PMT NO]]&lt;&gt;"",PaymentSchedule[[#This Row],[TOTAL PAYMENT]]-PaymentSchedule[[#This Row],[INTEREST]],"")</f>
        <v>89.14570114641829</v>
      </c>
      <c r="H104" s="25">
        <f>IF(PaymentSchedule[[#This Row],[PMT NO]]&lt;&gt;"",PaymentSchedule[[#This Row],[BEGINNING BALANCE]]*(InterestRate/PaymentsPerYear),"")</f>
        <v>7.4150435519712294</v>
      </c>
      <c r="I10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2876.8717196420735</v>
      </c>
      <c r="J104" s="25">
        <f>IF(PaymentSchedule[[#This Row],[PMT NO]]&lt;&gt;"",SUM(INDEX(PaymentSchedule[INTEREST],1,1):PaymentSchedule[[#This Row],[INTEREST]]),"")</f>
        <v>1470.7779977987423</v>
      </c>
    </row>
    <row r="105" spans="1:10" x14ac:dyDescent="0.3">
      <c r="A105" s="4">
        <f>IF(LoanIsGood,IF(ROW()-ROW(PaymentSchedule[[#Headers],[PMT NO]])&gt;ScheduledNumberOfPayments,"",ROW()-ROW(PaymentSchedule[[#Headers],[PMT NO]])),"")</f>
        <v>90</v>
      </c>
      <c r="B105" s="24">
        <f>IF(PaymentSchedule[[#This Row],[PMT NO]]&lt;&gt;"",EOMONTH(LoanStartDate,ROW(PaymentSchedule[[#This Row],[PMT NO]])-ROW(PaymentSchedule[[#Headers],[PMT NO]])-2)+DAY(LoanStartDate),"")</f>
        <v>47802</v>
      </c>
      <c r="C105" s="25">
        <f>IF(PaymentSchedule[[#This Row],[PMT NO]]&lt;&gt;"",IF(ROW()-ROW(PaymentSchedule[[#Headers],[BEGINNING BALANCE]])=1,LoanAmount,INDEX(PaymentSchedule[ENDING BALANCE],ROW()-ROW(PaymentSchedule[[#Headers],[BEGINNING BALANCE]])-1)),"")</f>
        <v>2876.8717196420735</v>
      </c>
      <c r="D105" s="25">
        <f>IF(PaymentSchedule[[#This Row],[PMT NO]]&lt;&gt;"",ScheduledPayment,"")</f>
        <v>96.560744698389513</v>
      </c>
      <c r="E10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5" s="25">
        <f>IF(PaymentSchedule[[#This Row],[PMT NO]]&lt;&gt;"",PaymentSchedule[[#This Row],[TOTAL PAYMENT]]-PaymentSchedule[[#This Row],[INTEREST]],"")</f>
        <v>89.368565399284336</v>
      </c>
      <c r="H105" s="25">
        <f>IF(PaymentSchedule[[#This Row],[PMT NO]]&lt;&gt;"",PaymentSchedule[[#This Row],[BEGINNING BALANCE]]*(InterestRate/PaymentsPerYear),"")</f>
        <v>7.1921792991051836</v>
      </c>
      <c r="I10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2787.5031542427892</v>
      </c>
      <c r="J105" s="25">
        <f>IF(PaymentSchedule[[#This Row],[PMT NO]]&lt;&gt;"",SUM(INDEX(PaymentSchedule[INTEREST],1,1):PaymentSchedule[[#This Row],[INTEREST]]),"")</f>
        <v>1477.9701770978475</v>
      </c>
    </row>
    <row r="106" spans="1:10" x14ac:dyDescent="0.3">
      <c r="A106" s="4">
        <f>IF(LoanIsGood,IF(ROW()-ROW(PaymentSchedule[[#Headers],[PMT NO]])&gt;ScheduledNumberOfPayments,"",ROW()-ROW(PaymentSchedule[[#Headers],[PMT NO]])),"")</f>
        <v>91</v>
      </c>
      <c r="B106" s="24">
        <f>IF(PaymentSchedule[[#This Row],[PMT NO]]&lt;&gt;"",EOMONTH(LoanStartDate,ROW(PaymentSchedule[[#This Row],[PMT NO]])-ROW(PaymentSchedule[[#Headers],[PMT NO]])-2)+DAY(LoanStartDate),"")</f>
        <v>47832</v>
      </c>
      <c r="C106" s="25">
        <f>IF(PaymentSchedule[[#This Row],[PMT NO]]&lt;&gt;"",IF(ROW()-ROW(PaymentSchedule[[#Headers],[BEGINNING BALANCE]])=1,LoanAmount,INDEX(PaymentSchedule[ENDING BALANCE],ROW()-ROW(PaymentSchedule[[#Headers],[BEGINNING BALANCE]])-1)),"")</f>
        <v>2787.5031542427892</v>
      </c>
      <c r="D106" s="25">
        <f>IF(PaymentSchedule[[#This Row],[PMT NO]]&lt;&gt;"",ScheduledPayment,"")</f>
        <v>96.560744698389513</v>
      </c>
      <c r="E10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6" s="25">
        <f>IF(PaymentSchedule[[#This Row],[PMT NO]]&lt;&gt;"",PaymentSchedule[[#This Row],[TOTAL PAYMENT]]-PaymentSchedule[[#This Row],[INTEREST]],"")</f>
        <v>89.591986812782537</v>
      </c>
      <c r="H106" s="25">
        <f>IF(PaymentSchedule[[#This Row],[PMT NO]]&lt;&gt;"",PaymentSchedule[[#This Row],[BEGINNING BALANCE]]*(InterestRate/PaymentsPerYear),"")</f>
        <v>6.9687578856069727</v>
      </c>
      <c r="I10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2697.9111674300066</v>
      </c>
      <c r="J106" s="25">
        <f>IF(PaymentSchedule[[#This Row],[PMT NO]]&lt;&gt;"",SUM(INDEX(PaymentSchedule[INTEREST],1,1):PaymentSchedule[[#This Row],[INTEREST]]),"")</f>
        <v>1484.9389349834544</v>
      </c>
    </row>
    <row r="107" spans="1:10" x14ac:dyDescent="0.3">
      <c r="A107" s="4">
        <f>IF(LoanIsGood,IF(ROW()-ROW(PaymentSchedule[[#Headers],[PMT NO]])&gt;ScheduledNumberOfPayments,"",ROW()-ROW(PaymentSchedule[[#Headers],[PMT NO]])),"")</f>
        <v>92</v>
      </c>
      <c r="B107" s="24">
        <f>IF(PaymentSchedule[[#This Row],[PMT NO]]&lt;&gt;"",EOMONTH(LoanStartDate,ROW(PaymentSchedule[[#This Row],[PMT NO]])-ROW(PaymentSchedule[[#Headers],[PMT NO]])-2)+DAY(LoanStartDate),"")</f>
        <v>47863</v>
      </c>
      <c r="C107" s="25">
        <f>IF(PaymentSchedule[[#This Row],[PMT NO]]&lt;&gt;"",IF(ROW()-ROW(PaymentSchedule[[#Headers],[BEGINNING BALANCE]])=1,LoanAmount,INDEX(PaymentSchedule[ENDING BALANCE],ROW()-ROW(PaymentSchedule[[#Headers],[BEGINNING BALANCE]])-1)),"")</f>
        <v>2697.9111674300066</v>
      </c>
      <c r="D107" s="25">
        <f>IF(PaymentSchedule[[#This Row],[PMT NO]]&lt;&gt;"",ScheduledPayment,"")</f>
        <v>96.560744698389513</v>
      </c>
      <c r="E10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7" s="25">
        <f>IF(PaymentSchedule[[#This Row],[PMT NO]]&lt;&gt;"",PaymentSchedule[[#This Row],[TOTAL PAYMENT]]-PaymentSchedule[[#This Row],[INTEREST]],"")</f>
        <v>89.815966779814502</v>
      </c>
      <c r="H107" s="25">
        <f>IF(PaymentSchedule[[#This Row],[PMT NO]]&lt;&gt;"",PaymentSchedule[[#This Row],[BEGINNING BALANCE]]*(InterestRate/PaymentsPerYear),"")</f>
        <v>6.744777918575017</v>
      </c>
      <c r="I10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2608.0952006501921</v>
      </c>
      <c r="J107" s="25">
        <f>IF(PaymentSchedule[[#This Row],[PMT NO]]&lt;&gt;"",SUM(INDEX(PaymentSchedule[INTEREST],1,1):PaymentSchedule[[#This Row],[INTEREST]]),"")</f>
        <v>1491.6837129020294</v>
      </c>
    </row>
    <row r="108" spans="1:10" x14ac:dyDescent="0.3">
      <c r="A108" s="4">
        <f>IF(LoanIsGood,IF(ROW()-ROW(PaymentSchedule[[#Headers],[PMT NO]])&gt;ScheduledNumberOfPayments,"",ROW()-ROW(PaymentSchedule[[#Headers],[PMT NO]])),"")</f>
        <v>93</v>
      </c>
      <c r="B108" s="24">
        <f>IF(PaymentSchedule[[#This Row],[PMT NO]]&lt;&gt;"",EOMONTH(LoanStartDate,ROW(PaymentSchedule[[#This Row],[PMT NO]])-ROW(PaymentSchedule[[#Headers],[PMT NO]])-2)+DAY(LoanStartDate),"")</f>
        <v>47894</v>
      </c>
      <c r="C108" s="25">
        <f>IF(PaymentSchedule[[#This Row],[PMT NO]]&lt;&gt;"",IF(ROW()-ROW(PaymentSchedule[[#Headers],[BEGINNING BALANCE]])=1,LoanAmount,INDEX(PaymentSchedule[ENDING BALANCE],ROW()-ROW(PaymentSchedule[[#Headers],[BEGINNING BALANCE]])-1)),"")</f>
        <v>2608.0952006501921</v>
      </c>
      <c r="D108" s="25">
        <f>IF(PaymentSchedule[[#This Row],[PMT NO]]&lt;&gt;"",ScheduledPayment,"")</f>
        <v>96.560744698389513</v>
      </c>
      <c r="E10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8" s="25">
        <f>IF(PaymentSchedule[[#This Row],[PMT NO]]&lt;&gt;"",PaymentSchedule[[#This Row],[TOTAL PAYMENT]]-PaymentSchedule[[#This Row],[INTEREST]],"")</f>
        <v>90.040506696764027</v>
      </c>
      <c r="H108" s="25">
        <f>IF(PaymentSchedule[[#This Row],[PMT NO]]&lt;&gt;"",PaymentSchedule[[#This Row],[BEGINNING BALANCE]]*(InterestRate/PaymentsPerYear),"")</f>
        <v>6.5202380016254802</v>
      </c>
      <c r="I10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2518.0546939534279</v>
      </c>
      <c r="J108" s="25">
        <f>IF(PaymentSchedule[[#This Row],[PMT NO]]&lt;&gt;"",SUM(INDEX(PaymentSchedule[INTEREST],1,1):PaymentSchedule[[#This Row],[INTEREST]]),"")</f>
        <v>1498.2039509036549</v>
      </c>
    </row>
    <row r="109" spans="1:10" x14ac:dyDescent="0.3">
      <c r="A109" s="4">
        <f>IF(LoanIsGood,IF(ROW()-ROW(PaymentSchedule[[#Headers],[PMT NO]])&gt;ScheduledNumberOfPayments,"",ROW()-ROW(PaymentSchedule[[#Headers],[PMT NO]])),"")</f>
        <v>94</v>
      </c>
      <c r="B109" s="24">
        <f>IF(PaymentSchedule[[#This Row],[PMT NO]]&lt;&gt;"",EOMONTH(LoanStartDate,ROW(PaymentSchedule[[#This Row],[PMT NO]])-ROW(PaymentSchedule[[#Headers],[PMT NO]])-2)+DAY(LoanStartDate),"")</f>
        <v>47922</v>
      </c>
      <c r="C109" s="25">
        <f>IF(PaymentSchedule[[#This Row],[PMT NO]]&lt;&gt;"",IF(ROW()-ROW(PaymentSchedule[[#Headers],[BEGINNING BALANCE]])=1,LoanAmount,INDEX(PaymentSchedule[ENDING BALANCE],ROW()-ROW(PaymentSchedule[[#Headers],[BEGINNING BALANCE]])-1)),"")</f>
        <v>2518.0546939534279</v>
      </c>
      <c r="D109" s="25">
        <f>IF(PaymentSchedule[[#This Row],[PMT NO]]&lt;&gt;"",ScheduledPayment,"")</f>
        <v>96.560744698389513</v>
      </c>
      <c r="E10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0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09" s="25">
        <f>IF(PaymentSchedule[[#This Row],[PMT NO]]&lt;&gt;"",PaymentSchedule[[#This Row],[TOTAL PAYMENT]]-PaymentSchedule[[#This Row],[INTEREST]],"")</f>
        <v>90.265607963505943</v>
      </c>
      <c r="H109" s="25">
        <f>IF(PaymentSchedule[[#This Row],[PMT NO]]&lt;&gt;"",PaymentSchedule[[#This Row],[BEGINNING BALANCE]]*(InterestRate/PaymentsPerYear),"")</f>
        <v>6.2951367348835703</v>
      </c>
      <c r="I10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2427.7890859899221</v>
      </c>
      <c r="J109" s="25">
        <f>IF(PaymentSchedule[[#This Row],[PMT NO]]&lt;&gt;"",SUM(INDEX(PaymentSchedule[INTEREST],1,1):PaymentSchedule[[#This Row],[INTEREST]]),"")</f>
        <v>1504.4990876385384</v>
      </c>
    </row>
    <row r="110" spans="1:10" x14ac:dyDescent="0.3">
      <c r="A110" s="4">
        <f>IF(LoanIsGood,IF(ROW()-ROW(PaymentSchedule[[#Headers],[PMT NO]])&gt;ScheduledNumberOfPayments,"",ROW()-ROW(PaymentSchedule[[#Headers],[PMT NO]])),"")</f>
        <v>95</v>
      </c>
      <c r="B110" s="24">
        <f>IF(PaymentSchedule[[#This Row],[PMT NO]]&lt;&gt;"",EOMONTH(LoanStartDate,ROW(PaymentSchedule[[#This Row],[PMT NO]])-ROW(PaymentSchedule[[#Headers],[PMT NO]])-2)+DAY(LoanStartDate),"")</f>
        <v>47953</v>
      </c>
      <c r="C110" s="25">
        <f>IF(PaymentSchedule[[#This Row],[PMT NO]]&lt;&gt;"",IF(ROW()-ROW(PaymentSchedule[[#Headers],[BEGINNING BALANCE]])=1,LoanAmount,INDEX(PaymentSchedule[ENDING BALANCE],ROW()-ROW(PaymentSchedule[[#Headers],[BEGINNING BALANCE]])-1)),"")</f>
        <v>2427.7890859899221</v>
      </c>
      <c r="D110" s="25">
        <f>IF(PaymentSchedule[[#This Row],[PMT NO]]&lt;&gt;"",ScheduledPayment,"")</f>
        <v>96.560744698389513</v>
      </c>
      <c r="E11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0" s="25">
        <f>IF(PaymentSchedule[[#This Row],[PMT NO]]&lt;&gt;"",PaymentSchedule[[#This Row],[TOTAL PAYMENT]]-PaymentSchedule[[#This Row],[INTEREST]],"")</f>
        <v>90.491271983414705</v>
      </c>
      <c r="H110" s="25">
        <f>IF(PaymentSchedule[[#This Row],[PMT NO]]&lt;&gt;"",PaymentSchedule[[#This Row],[BEGINNING BALANCE]]*(InterestRate/PaymentsPerYear),"")</f>
        <v>6.0694727149748058</v>
      </c>
      <c r="I11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2337.2978140065075</v>
      </c>
      <c r="J110" s="25">
        <f>IF(PaymentSchedule[[#This Row],[PMT NO]]&lt;&gt;"",SUM(INDEX(PaymentSchedule[INTEREST],1,1):PaymentSchedule[[#This Row],[INTEREST]]),"")</f>
        <v>1510.5685603535132</v>
      </c>
    </row>
    <row r="111" spans="1:10" x14ac:dyDescent="0.3">
      <c r="A111" s="4">
        <f>IF(LoanIsGood,IF(ROW()-ROW(PaymentSchedule[[#Headers],[PMT NO]])&gt;ScheduledNumberOfPayments,"",ROW()-ROW(PaymentSchedule[[#Headers],[PMT NO]])),"")</f>
        <v>96</v>
      </c>
      <c r="B111" s="24">
        <f>IF(PaymentSchedule[[#This Row],[PMT NO]]&lt;&gt;"",EOMONTH(LoanStartDate,ROW(PaymentSchedule[[#This Row],[PMT NO]])-ROW(PaymentSchedule[[#Headers],[PMT NO]])-2)+DAY(LoanStartDate),"")</f>
        <v>47983</v>
      </c>
      <c r="C111" s="25">
        <f>IF(PaymentSchedule[[#This Row],[PMT NO]]&lt;&gt;"",IF(ROW()-ROW(PaymentSchedule[[#Headers],[BEGINNING BALANCE]])=1,LoanAmount,INDEX(PaymentSchedule[ENDING BALANCE],ROW()-ROW(PaymentSchedule[[#Headers],[BEGINNING BALANCE]])-1)),"")</f>
        <v>2337.2978140065075</v>
      </c>
      <c r="D111" s="25">
        <f>IF(PaymentSchedule[[#This Row],[PMT NO]]&lt;&gt;"",ScheduledPayment,"")</f>
        <v>96.560744698389513</v>
      </c>
      <c r="E11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1" s="25">
        <f>IF(PaymentSchedule[[#This Row],[PMT NO]]&lt;&gt;"",PaymentSchedule[[#This Row],[TOTAL PAYMENT]]-PaymentSchedule[[#This Row],[INTEREST]],"")</f>
        <v>90.717500163373245</v>
      </c>
      <c r="H111" s="25">
        <f>IF(PaymentSchedule[[#This Row],[PMT NO]]&lt;&gt;"",PaymentSchedule[[#This Row],[BEGINNING BALANCE]]*(InterestRate/PaymentsPerYear),"")</f>
        <v>5.8432445350162689</v>
      </c>
      <c r="I11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2246.5803138431343</v>
      </c>
      <c r="J111" s="25">
        <f>IF(PaymentSchedule[[#This Row],[PMT NO]]&lt;&gt;"",SUM(INDEX(PaymentSchedule[INTEREST],1,1):PaymentSchedule[[#This Row],[INTEREST]]),"")</f>
        <v>1516.4118048885296</v>
      </c>
    </row>
    <row r="112" spans="1:10" x14ac:dyDescent="0.3">
      <c r="A112" s="4">
        <f>IF(LoanIsGood,IF(ROW()-ROW(PaymentSchedule[[#Headers],[PMT NO]])&gt;ScheduledNumberOfPayments,"",ROW()-ROW(PaymentSchedule[[#Headers],[PMT NO]])),"")</f>
        <v>97</v>
      </c>
      <c r="B112" s="24">
        <f>IF(PaymentSchedule[[#This Row],[PMT NO]]&lt;&gt;"",EOMONTH(LoanStartDate,ROW(PaymentSchedule[[#This Row],[PMT NO]])-ROW(PaymentSchedule[[#Headers],[PMT NO]])-2)+DAY(LoanStartDate),"")</f>
        <v>48014</v>
      </c>
      <c r="C112" s="25">
        <f>IF(PaymentSchedule[[#This Row],[PMT NO]]&lt;&gt;"",IF(ROW()-ROW(PaymentSchedule[[#Headers],[BEGINNING BALANCE]])=1,LoanAmount,INDEX(PaymentSchedule[ENDING BALANCE],ROW()-ROW(PaymentSchedule[[#Headers],[BEGINNING BALANCE]])-1)),"")</f>
        <v>2246.5803138431343</v>
      </c>
      <c r="D112" s="25">
        <f>IF(PaymentSchedule[[#This Row],[PMT NO]]&lt;&gt;"",ScheduledPayment,"")</f>
        <v>96.560744698389513</v>
      </c>
      <c r="E11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2" s="25">
        <f>IF(PaymentSchedule[[#This Row],[PMT NO]]&lt;&gt;"",PaymentSchedule[[#This Row],[TOTAL PAYMENT]]-PaymentSchedule[[#This Row],[INTEREST]],"")</f>
        <v>90.944293913781678</v>
      </c>
      <c r="H112" s="25">
        <f>IF(PaymentSchedule[[#This Row],[PMT NO]]&lt;&gt;"",PaymentSchedule[[#This Row],[BEGINNING BALANCE]]*(InterestRate/PaymentsPerYear),"")</f>
        <v>5.616450784607836</v>
      </c>
      <c r="I11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2155.6360199293526</v>
      </c>
      <c r="J112" s="25">
        <f>IF(PaymentSchedule[[#This Row],[PMT NO]]&lt;&gt;"",SUM(INDEX(PaymentSchedule[INTEREST],1,1):PaymentSchedule[[#This Row],[INTEREST]]),"")</f>
        <v>1522.0282556731374</v>
      </c>
    </row>
    <row r="113" spans="1:10" x14ac:dyDescent="0.3">
      <c r="A113" s="4">
        <f>IF(LoanIsGood,IF(ROW()-ROW(PaymentSchedule[[#Headers],[PMT NO]])&gt;ScheduledNumberOfPayments,"",ROW()-ROW(PaymentSchedule[[#Headers],[PMT NO]])),"")</f>
        <v>98</v>
      </c>
      <c r="B113" s="24">
        <f>IF(PaymentSchedule[[#This Row],[PMT NO]]&lt;&gt;"",EOMONTH(LoanStartDate,ROW(PaymentSchedule[[#This Row],[PMT NO]])-ROW(PaymentSchedule[[#Headers],[PMT NO]])-2)+DAY(LoanStartDate),"")</f>
        <v>48044</v>
      </c>
      <c r="C113" s="25">
        <f>IF(PaymentSchedule[[#This Row],[PMT NO]]&lt;&gt;"",IF(ROW()-ROW(PaymentSchedule[[#Headers],[BEGINNING BALANCE]])=1,LoanAmount,INDEX(PaymentSchedule[ENDING BALANCE],ROW()-ROW(PaymentSchedule[[#Headers],[BEGINNING BALANCE]])-1)),"")</f>
        <v>2155.6360199293526</v>
      </c>
      <c r="D113" s="25">
        <f>IF(PaymentSchedule[[#This Row],[PMT NO]]&lt;&gt;"",ScheduledPayment,"")</f>
        <v>96.560744698389513</v>
      </c>
      <c r="E11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3" s="25">
        <f>IF(PaymentSchedule[[#This Row],[PMT NO]]&lt;&gt;"",PaymentSchedule[[#This Row],[TOTAL PAYMENT]]-PaymentSchedule[[#This Row],[INTEREST]],"")</f>
        <v>91.171654648566133</v>
      </c>
      <c r="H113" s="25">
        <f>IF(PaymentSchedule[[#This Row],[PMT NO]]&lt;&gt;"",PaymentSchedule[[#This Row],[BEGINNING BALANCE]]*(InterestRate/PaymentsPerYear),"")</f>
        <v>5.3890900498233814</v>
      </c>
      <c r="I11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2064.4643652807863</v>
      </c>
      <c r="J113" s="25">
        <f>IF(PaymentSchedule[[#This Row],[PMT NO]]&lt;&gt;"",SUM(INDEX(PaymentSchedule[INTEREST],1,1):PaymentSchedule[[#This Row],[INTEREST]]),"")</f>
        <v>1527.4173457229608</v>
      </c>
    </row>
    <row r="114" spans="1:10" x14ac:dyDescent="0.3">
      <c r="A114" s="4">
        <f>IF(LoanIsGood,IF(ROW()-ROW(PaymentSchedule[[#Headers],[PMT NO]])&gt;ScheduledNumberOfPayments,"",ROW()-ROW(PaymentSchedule[[#Headers],[PMT NO]])),"")</f>
        <v>99</v>
      </c>
      <c r="B114" s="24">
        <f>IF(PaymentSchedule[[#This Row],[PMT NO]]&lt;&gt;"",EOMONTH(LoanStartDate,ROW(PaymentSchedule[[#This Row],[PMT NO]])-ROW(PaymentSchedule[[#Headers],[PMT NO]])-2)+DAY(LoanStartDate),"")</f>
        <v>48075</v>
      </c>
      <c r="C114" s="25">
        <f>IF(PaymentSchedule[[#This Row],[PMT NO]]&lt;&gt;"",IF(ROW()-ROW(PaymentSchedule[[#Headers],[BEGINNING BALANCE]])=1,LoanAmount,INDEX(PaymentSchedule[ENDING BALANCE],ROW()-ROW(PaymentSchedule[[#Headers],[BEGINNING BALANCE]])-1)),"")</f>
        <v>2064.4643652807863</v>
      </c>
      <c r="D114" s="25">
        <f>IF(PaymentSchedule[[#This Row],[PMT NO]]&lt;&gt;"",ScheduledPayment,"")</f>
        <v>96.560744698389513</v>
      </c>
      <c r="E11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4" s="25">
        <f>IF(PaymentSchedule[[#This Row],[PMT NO]]&lt;&gt;"",PaymentSchedule[[#This Row],[TOTAL PAYMENT]]-PaymentSchedule[[#This Row],[INTEREST]],"")</f>
        <v>91.399583785187545</v>
      </c>
      <c r="H114" s="25">
        <f>IF(PaymentSchedule[[#This Row],[PMT NO]]&lt;&gt;"",PaymentSchedule[[#This Row],[BEGINNING BALANCE]]*(InterestRate/PaymentsPerYear),"")</f>
        <v>5.1611609132019662</v>
      </c>
      <c r="I11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1973.0647814955987</v>
      </c>
      <c r="J114" s="25">
        <f>IF(PaymentSchedule[[#This Row],[PMT NO]]&lt;&gt;"",SUM(INDEX(PaymentSchedule[INTEREST],1,1):PaymentSchedule[[#This Row],[INTEREST]]),"")</f>
        <v>1532.5785066361627</v>
      </c>
    </row>
    <row r="115" spans="1:10" x14ac:dyDescent="0.3">
      <c r="A115" s="4">
        <f>IF(LoanIsGood,IF(ROW()-ROW(PaymentSchedule[[#Headers],[PMT NO]])&gt;ScheduledNumberOfPayments,"",ROW()-ROW(PaymentSchedule[[#Headers],[PMT NO]])),"")</f>
        <v>100</v>
      </c>
      <c r="B115" s="24">
        <f>IF(PaymentSchedule[[#This Row],[PMT NO]]&lt;&gt;"",EOMONTH(LoanStartDate,ROW(PaymentSchedule[[#This Row],[PMT NO]])-ROW(PaymentSchedule[[#Headers],[PMT NO]])-2)+DAY(LoanStartDate),"")</f>
        <v>48106</v>
      </c>
      <c r="C115" s="25">
        <f>IF(PaymentSchedule[[#This Row],[PMT NO]]&lt;&gt;"",IF(ROW()-ROW(PaymentSchedule[[#Headers],[BEGINNING BALANCE]])=1,LoanAmount,INDEX(PaymentSchedule[ENDING BALANCE],ROW()-ROW(PaymentSchedule[[#Headers],[BEGINNING BALANCE]])-1)),"")</f>
        <v>1973.0647814955987</v>
      </c>
      <c r="D115" s="25">
        <f>IF(PaymentSchedule[[#This Row],[PMT NO]]&lt;&gt;"",ScheduledPayment,"")</f>
        <v>96.560744698389513</v>
      </c>
      <c r="E11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5" s="25">
        <f>IF(PaymentSchedule[[#This Row],[PMT NO]]&lt;&gt;"",PaymentSchedule[[#This Row],[TOTAL PAYMENT]]-PaymentSchedule[[#This Row],[INTEREST]],"")</f>
        <v>91.628082744650513</v>
      </c>
      <c r="H115" s="25">
        <f>IF(PaymentSchedule[[#This Row],[PMT NO]]&lt;&gt;"",PaymentSchedule[[#This Row],[BEGINNING BALANCE]]*(InterestRate/PaymentsPerYear),"")</f>
        <v>4.9326619537389966</v>
      </c>
      <c r="I11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1881.4366987509482</v>
      </c>
      <c r="J115" s="25">
        <f>IF(PaymentSchedule[[#This Row],[PMT NO]]&lt;&gt;"",SUM(INDEX(PaymentSchedule[INTEREST],1,1):PaymentSchedule[[#This Row],[INTEREST]]),"")</f>
        <v>1537.5111685899017</v>
      </c>
    </row>
    <row r="116" spans="1:10" x14ac:dyDescent="0.3">
      <c r="A116" s="4">
        <f>IF(LoanIsGood,IF(ROW()-ROW(PaymentSchedule[[#Headers],[PMT NO]])&gt;ScheduledNumberOfPayments,"",ROW()-ROW(PaymentSchedule[[#Headers],[PMT NO]])),"")</f>
        <v>101</v>
      </c>
      <c r="B116" s="24">
        <f>IF(PaymentSchedule[[#This Row],[PMT NO]]&lt;&gt;"",EOMONTH(LoanStartDate,ROW(PaymentSchedule[[#This Row],[PMT NO]])-ROW(PaymentSchedule[[#Headers],[PMT NO]])-2)+DAY(LoanStartDate),"")</f>
        <v>48136</v>
      </c>
      <c r="C116" s="25">
        <f>IF(PaymentSchedule[[#This Row],[PMT NO]]&lt;&gt;"",IF(ROW()-ROW(PaymentSchedule[[#Headers],[BEGINNING BALANCE]])=1,LoanAmount,INDEX(PaymentSchedule[ENDING BALANCE],ROW()-ROW(PaymentSchedule[[#Headers],[BEGINNING BALANCE]])-1)),"")</f>
        <v>1881.4366987509482</v>
      </c>
      <c r="D116" s="25">
        <f>IF(PaymentSchedule[[#This Row],[PMT NO]]&lt;&gt;"",ScheduledPayment,"")</f>
        <v>96.560744698389513</v>
      </c>
      <c r="E11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6" s="25">
        <f>IF(PaymentSchedule[[#This Row],[PMT NO]]&lt;&gt;"",PaymentSchedule[[#This Row],[TOTAL PAYMENT]]-PaymentSchedule[[#This Row],[INTEREST]],"")</f>
        <v>91.857152951512148</v>
      </c>
      <c r="H116" s="25">
        <f>IF(PaymentSchedule[[#This Row],[PMT NO]]&lt;&gt;"",PaymentSchedule[[#This Row],[BEGINNING BALANCE]]*(InterestRate/PaymentsPerYear),"")</f>
        <v>4.7035917468773709</v>
      </c>
      <c r="I11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1789.5795457994359</v>
      </c>
      <c r="J116" s="25">
        <f>IF(PaymentSchedule[[#This Row],[PMT NO]]&lt;&gt;"",SUM(INDEX(PaymentSchedule[INTEREST],1,1):PaymentSchedule[[#This Row],[INTEREST]]),"")</f>
        <v>1542.2147603367791</v>
      </c>
    </row>
    <row r="117" spans="1:10" x14ac:dyDescent="0.3">
      <c r="A117" s="4">
        <f>IF(LoanIsGood,IF(ROW()-ROW(PaymentSchedule[[#Headers],[PMT NO]])&gt;ScheduledNumberOfPayments,"",ROW()-ROW(PaymentSchedule[[#Headers],[PMT NO]])),"")</f>
        <v>102</v>
      </c>
      <c r="B117" s="24">
        <f>IF(PaymentSchedule[[#This Row],[PMT NO]]&lt;&gt;"",EOMONTH(LoanStartDate,ROW(PaymentSchedule[[#This Row],[PMT NO]])-ROW(PaymentSchedule[[#Headers],[PMT NO]])-2)+DAY(LoanStartDate),"")</f>
        <v>48167</v>
      </c>
      <c r="C117" s="25">
        <f>IF(PaymentSchedule[[#This Row],[PMT NO]]&lt;&gt;"",IF(ROW()-ROW(PaymentSchedule[[#Headers],[BEGINNING BALANCE]])=1,LoanAmount,INDEX(PaymentSchedule[ENDING BALANCE],ROW()-ROW(PaymentSchedule[[#Headers],[BEGINNING BALANCE]])-1)),"")</f>
        <v>1789.5795457994359</v>
      </c>
      <c r="D117" s="25">
        <f>IF(PaymentSchedule[[#This Row],[PMT NO]]&lt;&gt;"",ScheduledPayment,"")</f>
        <v>96.560744698389513</v>
      </c>
      <c r="E11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7" s="25">
        <f>IF(PaymentSchedule[[#This Row],[PMT NO]]&lt;&gt;"",PaymentSchedule[[#This Row],[TOTAL PAYMENT]]-PaymentSchedule[[#This Row],[INTEREST]],"")</f>
        <v>92.086795833890918</v>
      </c>
      <c r="H117" s="25">
        <f>IF(PaymentSchedule[[#This Row],[PMT NO]]&lt;&gt;"",PaymentSchedule[[#This Row],[BEGINNING BALANCE]]*(InterestRate/PaymentsPerYear),"")</f>
        <v>4.4739488644985901</v>
      </c>
      <c r="I11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1697.492749965545</v>
      </c>
      <c r="J117" s="25">
        <f>IF(PaymentSchedule[[#This Row],[PMT NO]]&lt;&gt;"",SUM(INDEX(PaymentSchedule[INTEREST],1,1):PaymentSchedule[[#This Row],[INTEREST]]),"")</f>
        <v>1546.6887092012778</v>
      </c>
    </row>
    <row r="118" spans="1:10" x14ac:dyDescent="0.3">
      <c r="A118" s="4">
        <f>IF(LoanIsGood,IF(ROW()-ROW(PaymentSchedule[[#Headers],[PMT NO]])&gt;ScheduledNumberOfPayments,"",ROW()-ROW(PaymentSchedule[[#Headers],[PMT NO]])),"")</f>
        <v>103</v>
      </c>
      <c r="B118" s="24">
        <f>IF(PaymentSchedule[[#This Row],[PMT NO]]&lt;&gt;"",EOMONTH(LoanStartDate,ROW(PaymentSchedule[[#This Row],[PMT NO]])-ROW(PaymentSchedule[[#Headers],[PMT NO]])-2)+DAY(LoanStartDate),"")</f>
        <v>48197</v>
      </c>
      <c r="C118" s="25">
        <f>IF(PaymentSchedule[[#This Row],[PMT NO]]&lt;&gt;"",IF(ROW()-ROW(PaymentSchedule[[#Headers],[BEGINNING BALANCE]])=1,LoanAmount,INDEX(PaymentSchedule[ENDING BALANCE],ROW()-ROW(PaymentSchedule[[#Headers],[BEGINNING BALANCE]])-1)),"")</f>
        <v>1697.492749965545</v>
      </c>
      <c r="D118" s="25">
        <f>IF(PaymentSchedule[[#This Row],[PMT NO]]&lt;&gt;"",ScheduledPayment,"")</f>
        <v>96.560744698389513</v>
      </c>
      <c r="E11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8" s="25">
        <f>IF(PaymentSchedule[[#This Row],[PMT NO]]&lt;&gt;"",PaymentSchedule[[#This Row],[TOTAL PAYMENT]]-PaymentSchedule[[#This Row],[INTEREST]],"")</f>
        <v>92.31701282347565</v>
      </c>
      <c r="H118" s="25">
        <f>IF(PaymentSchedule[[#This Row],[PMT NO]]&lt;&gt;"",PaymentSchedule[[#This Row],[BEGINNING BALANCE]]*(InterestRate/PaymentsPerYear),"")</f>
        <v>4.2437318749138626</v>
      </c>
      <c r="I11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1605.1757371420695</v>
      </c>
      <c r="J118" s="25">
        <f>IF(PaymentSchedule[[#This Row],[PMT NO]]&lt;&gt;"",SUM(INDEX(PaymentSchedule[INTEREST],1,1):PaymentSchedule[[#This Row],[INTEREST]]),"")</f>
        <v>1550.9324410761917</v>
      </c>
    </row>
    <row r="119" spans="1:10" x14ac:dyDescent="0.3">
      <c r="A119" s="4">
        <f>IF(LoanIsGood,IF(ROW()-ROW(PaymentSchedule[[#Headers],[PMT NO]])&gt;ScheduledNumberOfPayments,"",ROW()-ROW(PaymentSchedule[[#Headers],[PMT NO]])),"")</f>
        <v>104</v>
      </c>
      <c r="B119" s="24">
        <f>IF(PaymentSchedule[[#This Row],[PMT NO]]&lt;&gt;"",EOMONTH(LoanStartDate,ROW(PaymentSchedule[[#This Row],[PMT NO]])-ROW(PaymentSchedule[[#Headers],[PMT NO]])-2)+DAY(LoanStartDate),"")</f>
        <v>48228</v>
      </c>
      <c r="C119" s="25">
        <f>IF(PaymentSchedule[[#This Row],[PMT NO]]&lt;&gt;"",IF(ROW()-ROW(PaymentSchedule[[#Headers],[BEGINNING BALANCE]])=1,LoanAmount,INDEX(PaymentSchedule[ENDING BALANCE],ROW()-ROW(PaymentSchedule[[#Headers],[BEGINNING BALANCE]])-1)),"")</f>
        <v>1605.1757371420695</v>
      </c>
      <c r="D119" s="25">
        <f>IF(PaymentSchedule[[#This Row],[PMT NO]]&lt;&gt;"",ScheduledPayment,"")</f>
        <v>96.560744698389513</v>
      </c>
      <c r="E11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1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19" s="25">
        <f>IF(PaymentSchedule[[#This Row],[PMT NO]]&lt;&gt;"",PaymentSchedule[[#This Row],[TOTAL PAYMENT]]-PaymentSchedule[[#This Row],[INTEREST]],"")</f>
        <v>92.547805355534337</v>
      </c>
      <c r="H119" s="25">
        <f>IF(PaymentSchedule[[#This Row],[PMT NO]]&lt;&gt;"",PaymentSchedule[[#This Row],[BEGINNING BALANCE]]*(InterestRate/PaymentsPerYear),"")</f>
        <v>4.0129393428551738</v>
      </c>
      <c r="I11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1512.6279317865351</v>
      </c>
      <c r="J119" s="25">
        <f>IF(PaymentSchedule[[#This Row],[PMT NO]]&lt;&gt;"",SUM(INDEX(PaymentSchedule[INTEREST],1,1):PaymentSchedule[[#This Row],[INTEREST]]),"")</f>
        <v>1554.9453804190468</v>
      </c>
    </row>
    <row r="120" spans="1:10" x14ac:dyDescent="0.3">
      <c r="A120" s="4">
        <f>IF(LoanIsGood,IF(ROW()-ROW(PaymentSchedule[[#Headers],[PMT NO]])&gt;ScheduledNumberOfPayments,"",ROW()-ROW(PaymentSchedule[[#Headers],[PMT NO]])),"")</f>
        <v>105</v>
      </c>
      <c r="B120" s="24">
        <f>IF(PaymentSchedule[[#This Row],[PMT NO]]&lt;&gt;"",EOMONTH(LoanStartDate,ROW(PaymentSchedule[[#This Row],[PMT NO]])-ROW(PaymentSchedule[[#Headers],[PMT NO]])-2)+DAY(LoanStartDate),"")</f>
        <v>48259</v>
      </c>
      <c r="C120" s="25">
        <f>IF(PaymentSchedule[[#This Row],[PMT NO]]&lt;&gt;"",IF(ROW()-ROW(PaymentSchedule[[#Headers],[BEGINNING BALANCE]])=1,LoanAmount,INDEX(PaymentSchedule[ENDING BALANCE],ROW()-ROW(PaymentSchedule[[#Headers],[BEGINNING BALANCE]])-1)),"")</f>
        <v>1512.6279317865351</v>
      </c>
      <c r="D120" s="25">
        <f>IF(PaymentSchedule[[#This Row],[PMT NO]]&lt;&gt;"",ScheduledPayment,"")</f>
        <v>96.560744698389513</v>
      </c>
      <c r="E12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0" s="25">
        <f>IF(PaymentSchedule[[#This Row],[PMT NO]]&lt;&gt;"",PaymentSchedule[[#This Row],[TOTAL PAYMENT]]-PaymentSchedule[[#This Row],[INTEREST]],"")</f>
        <v>92.779174868923178</v>
      </c>
      <c r="H120" s="25">
        <f>IF(PaymentSchedule[[#This Row],[PMT NO]]&lt;&gt;"",PaymentSchedule[[#This Row],[BEGINNING BALANCE]]*(InterestRate/PaymentsPerYear),"")</f>
        <v>3.781569829466338</v>
      </c>
      <c r="I12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1419.8487569176118</v>
      </c>
      <c r="J120" s="25">
        <f>IF(PaymentSchedule[[#This Row],[PMT NO]]&lt;&gt;"",SUM(INDEX(PaymentSchedule[INTEREST],1,1):PaymentSchedule[[#This Row],[INTEREST]]),"")</f>
        <v>1558.7269502485133</v>
      </c>
    </row>
    <row r="121" spans="1:10" x14ac:dyDescent="0.3">
      <c r="A121" s="4">
        <f>IF(LoanIsGood,IF(ROW()-ROW(PaymentSchedule[[#Headers],[PMT NO]])&gt;ScheduledNumberOfPayments,"",ROW()-ROW(PaymentSchedule[[#Headers],[PMT NO]])),"")</f>
        <v>106</v>
      </c>
      <c r="B121" s="24">
        <f>IF(PaymentSchedule[[#This Row],[PMT NO]]&lt;&gt;"",EOMONTH(LoanStartDate,ROW(PaymentSchedule[[#This Row],[PMT NO]])-ROW(PaymentSchedule[[#Headers],[PMT NO]])-2)+DAY(LoanStartDate),"")</f>
        <v>48288</v>
      </c>
      <c r="C121" s="25">
        <f>IF(PaymentSchedule[[#This Row],[PMT NO]]&lt;&gt;"",IF(ROW()-ROW(PaymentSchedule[[#Headers],[BEGINNING BALANCE]])=1,LoanAmount,INDEX(PaymentSchedule[ENDING BALANCE],ROW()-ROW(PaymentSchedule[[#Headers],[BEGINNING BALANCE]])-1)),"")</f>
        <v>1419.8487569176118</v>
      </c>
      <c r="D121" s="25">
        <f>IF(PaymentSchedule[[#This Row],[PMT NO]]&lt;&gt;"",ScheduledPayment,"")</f>
        <v>96.560744698389513</v>
      </c>
      <c r="E12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1" s="25">
        <f>IF(PaymentSchedule[[#This Row],[PMT NO]]&lt;&gt;"",PaymentSchedule[[#This Row],[TOTAL PAYMENT]]-PaymentSchedule[[#This Row],[INTEREST]],"")</f>
        <v>93.011122806095486</v>
      </c>
      <c r="H121" s="25">
        <f>IF(PaymentSchedule[[#This Row],[PMT NO]]&lt;&gt;"",PaymentSchedule[[#This Row],[BEGINNING BALANCE]]*(InterestRate/PaymentsPerYear),"")</f>
        <v>3.5496218922940295</v>
      </c>
      <c r="I12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1326.8376341115163</v>
      </c>
      <c r="J121" s="25">
        <f>IF(PaymentSchedule[[#This Row],[PMT NO]]&lt;&gt;"",SUM(INDEX(PaymentSchedule[INTEREST],1,1):PaymentSchedule[[#This Row],[INTEREST]]),"")</f>
        <v>1562.2765721408073</v>
      </c>
    </row>
    <row r="122" spans="1:10" x14ac:dyDescent="0.3">
      <c r="A122" s="4">
        <f>IF(LoanIsGood,IF(ROW()-ROW(PaymentSchedule[[#Headers],[PMT NO]])&gt;ScheduledNumberOfPayments,"",ROW()-ROW(PaymentSchedule[[#Headers],[PMT NO]])),"")</f>
        <v>107</v>
      </c>
      <c r="B122" s="24">
        <f>IF(PaymentSchedule[[#This Row],[PMT NO]]&lt;&gt;"",EOMONTH(LoanStartDate,ROW(PaymentSchedule[[#This Row],[PMT NO]])-ROW(PaymentSchedule[[#Headers],[PMT NO]])-2)+DAY(LoanStartDate),"")</f>
        <v>48319</v>
      </c>
      <c r="C122" s="25">
        <f>IF(PaymentSchedule[[#This Row],[PMT NO]]&lt;&gt;"",IF(ROW()-ROW(PaymentSchedule[[#Headers],[BEGINNING BALANCE]])=1,LoanAmount,INDEX(PaymentSchedule[ENDING BALANCE],ROW()-ROW(PaymentSchedule[[#Headers],[BEGINNING BALANCE]])-1)),"")</f>
        <v>1326.8376341115163</v>
      </c>
      <c r="D122" s="25">
        <f>IF(PaymentSchedule[[#This Row],[PMT NO]]&lt;&gt;"",ScheduledPayment,"")</f>
        <v>96.560744698389513</v>
      </c>
      <c r="E12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2" s="25">
        <f>IF(PaymentSchedule[[#This Row],[PMT NO]]&lt;&gt;"",PaymentSchedule[[#This Row],[TOTAL PAYMENT]]-PaymentSchedule[[#This Row],[INTEREST]],"")</f>
        <v>93.243650613110717</v>
      </c>
      <c r="H122" s="25">
        <f>IF(PaymentSchedule[[#This Row],[PMT NO]]&lt;&gt;"",PaymentSchedule[[#This Row],[BEGINNING BALANCE]]*(InterestRate/PaymentsPerYear),"")</f>
        <v>3.3170940852787907</v>
      </c>
      <c r="I12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1233.5939834984056</v>
      </c>
      <c r="J122" s="25">
        <f>IF(PaymentSchedule[[#This Row],[PMT NO]]&lt;&gt;"",SUM(INDEX(PaymentSchedule[INTEREST],1,1):PaymentSchedule[[#This Row],[INTEREST]]),"")</f>
        <v>1565.593666226086</v>
      </c>
    </row>
    <row r="123" spans="1:10" x14ac:dyDescent="0.3">
      <c r="A123" s="4">
        <f>IF(LoanIsGood,IF(ROW()-ROW(PaymentSchedule[[#Headers],[PMT NO]])&gt;ScheduledNumberOfPayments,"",ROW()-ROW(PaymentSchedule[[#Headers],[PMT NO]])),"")</f>
        <v>108</v>
      </c>
      <c r="B123" s="24">
        <f>IF(PaymentSchedule[[#This Row],[PMT NO]]&lt;&gt;"",EOMONTH(LoanStartDate,ROW(PaymentSchedule[[#This Row],[PMT NO]])-ROW(PaymentSchedule[[#Headers],[PMT NO]])-2)+DAY(LoanStartDate),"")</f>
        <v>48349</v>
      </c>
      <c r="C123" s="25">
        <f>IF(PaymentSchedule[[#This Row],[PMT NO]]&lt;&gt;"",IF(ROW()-ROW(PaymentSchedule[[#Headers],[BEGINNING BALANCE]])=1,LoanAmount,INDEX(PaymentSchedule[ENDING BALANCE],ROW()-ROW(PaymentSchedule[[#Headers],[BEGINNING BALANCE]])-1)),"")</f>
        <v>1233.5939834984056</v>
      </c>
      <c r="D123" s="25">
        <f>IF(PaymentSchedule[[#This Row],[PMT NO]]&lt;&gt;"",ScheduledPayment,"")</f>
        <v>96.560744698389513</v>
      </c>
      <c r="E12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3" s="25">
        <f>IF(PaymentSchedule[[#This Row],[PMT NO]]&lt;&gt;"",PaymentSchedule[[#This Row],[TOTAL PAYMENT]]-PaymentSchedule[[#This Row],[INTEREST]],"")</f>
        <v>93.476759739643498</v>
      </c>
      <c r="H123" s="25">
        <f>IF(PaymentSchedule[[#This Row],[PMT NO]]&lt;&gt;"",PaymentSchedule[[#This Row],[BEGINNING BALANCE]]*(InterestRate/PaymentsPerYear),"")</f>
        <v>3.0839849587460142</v>
      </c>
      <c r="I12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1140.1172237587621</v>
      </c>
      <c r="J123" s="25">
        <f>IF(PaymentSchedule[[#This Row],[PMT NO]]&lt;&gt;"",SUM(INDEX(PaymentSchedule[INTEREST],1,1):PaymentSchedule[[#This Row],[INTEREST]]),"")</f>
        <v>1568.677651184832</v>
      </c>
    </row>
    <row r="124" spans="1:10" x14ac:dyDescent="0.3">
      <c r="A124" s="4">
        <f>IF(LoanIsGood,IF(ROW()-ROW(PaymentSchedule[[#Headers],[PMT NO]])&gt;ScheduledNumberOfPayments,"",ROW()-ROW(PaymentSchedule[[#Headers],[PMT NO]])),"")</f>
        <v>109</v>
      </c>
      <c r="B124" s="24">
        <f>IF(PaymentSchedule[[#This Row],[PMT NO]]&lt;&gt;"",EOMONTH(LoanStartDate,ROW(PaymentSchedule[[#This Row],[PMT NO]])-ROW(PaymentSchedule[[#Headers],[PMT NO]])-2)+DAY(LoanStartDate),"")</f>
        <v>48380</v>
      </c>
      <c r="C124" s="25">
        <f>IF(PaymentSchedule[[#This Row],[PMT NO]]&lt;&gt;"",IF(ROW()-ROW(PaymentSchedule[[#Headers],[BEGINNING BALANCE]])=1,LoanAmount,INDEX(PaymentSchedule[ENDING BALANCE],ROW()-ROW(PaymentSchedule[[#Headers],[BEGINNING BALANCE]])-1)),"")</f>
        <v>1140.1172237587621</v>
      </c>
      <c r="D124" s="25">
        <f>IF(PaymentSchedule[[#This Row],[PMT NO]]&lt;&gt;"",ScheduledPayment,"")</f>
        <v>96.560744698389513</v>
      </c>
      <c r="E12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4" s="25">
        <f>IF(PaymentSchedule[[#This Row],[PMT NO]]&lt;&gt;"",PaymentSchedule[[#This Row],[TOTAL PAYMENT]]-PaymentSchedule[[#This Row],[INTEREST]],"")</f>
        <v>93.710451638992609</v>
      </c>
      <c r="H124" s="25">
        <f>IF(PaymentSchedule[[#This Row],[PMT NO]]&lt;&gt;"",PaymentSchedule[[#This Row],[BEGINNING BALANCE]]*(InterestRate/PaymentsPerYear),"")</f>
        <v>2.8502930593969054</v>
      </c>
      <c r="I12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1046.4067721197694</v>
      </c>
      <c r="J124" s="25">
        <f>IF(PaymentSchedule[[#This Row],[PMT NO]]&lt;&gt;"",SUM(INDEX(PaymentSchedule[INTEREST],1,1):PaymentSchedule[[#This Row],[INTEREST]]),"")</f>
        <v>1571.527944244229</v>
      </c>
    </row>
    <row r="125" spans="1:10" x14ac:dyDescent="0.3">
      <c r="A125" s="4">
        <f>IF(LoanIsGood,IF(ROW()-ROW(PaymentSchedule[[#Headers],[PMT NO]])&gt;ScheduledNumberOfPayments,"",ROW()-ROW(PaymentSchedule[[#Headers],[PMT NO]])),"")</f>
        <v>110</v>
      </c>
      <c r="B125" s="24">
        <f>IF(PaymentSchedule[[#This Row],[PMT NO]]&lt;&gt;"",EOMONTH(LoanStartDate,ROW(PaymentSchedule[[#This Row],[PMT NO]])-ROW(PaymentSchedule[[#Headers],[PMT NO]])-2)+DAY(LoanStartDate),"")</f>
        <v>48410</v>
      </c>
      <c r="C125" s="25">
        <f>IF(PaymentSchedule[[#This Row],[PMT NO]]&lt;&gt;"",IF(ROW()-ROW(PaymentSchedule[[#Headers],[BEGINNING BALANCE]])=1,LoanAmount,INDEX(PaymentSchedule[ENDING BALANCE],ROW()-ROW(PaymentSchedule[[#Headers],[BEGINNING BALANCE]])-1)),"")</f>
        <v>1046.4067721197694</v>
      </c>
      <c r="D125" s="25">
        <f>IF(PaymentSchedule[[#This Row],[PMT NO]]&lt;&gt;"",ScheduledPayment,"")</f>
        <v>96.560744698389513</v>
      </c>
      <c r="E12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5" s="25">
        <f>IF(PaymentSchedule[[#This Row],[PMT NO]]&lt;&gt;"",PaymentSchedule[[#This Row],[TOTAL PAYMENT]]-PaymentSchedule[[#This Row],[INTEREST]],"")</f>
        <v>93.94472776809009</v>
      </c>
      <c r="H125" s="25">
        <f>IF(PaymentSchedule[[#This Row],[PMT NO]]&lt;&gt;"",PaymentSchedule[[#This Row],[BEGINNING BALANCE]]*(InterestRate/PaymentsPerYear),"")</f>
        <v>2.6160169302994234</v>
      </c>
      <c r="I12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952.46204435167931</v>
      </c>
      <c r="J125" s="25">
        <f>IF(PaymentSchedule[[#This Row],[PMT NO]]&lt;&gt;"",SUM(INDEX(PaymentSchedule[INTEREST],1,1):PaymentSchedule[[#This Row],[INTEREST]]),"")</f>
        <v>1574.1439611745284</v>
      </c>
    </row>
    <row r="126" spans="1:10" x14ac:dyDescent="0.3">
      <c r="A126" s="4">
        <f>IF(LoanIsGood,IF(ROW()-ROW(PaymentSchedule[[#Headers],[PMT NO]])&gt;ScheduledNumberOfPayments,"",ROW()-ROW(PaymentSchedule[[#Headers],[PMT NO]])),"")</f>
        <v>111</v>
      </c>
      <c r="B126" s="24">
        <f>IF(PaymentSchedule[[#This Row],[PMT NO]]&lt;&gt;"",EOMONTH(LoanStartDate,ROW(PaymentSchedule[[#This Row],[PMT NO]])-ROW(PaymentSchedule[[#Headers],[PMT NO]])-2)+DAY(LoanStartDate),"")</f>
        <v>48441</v>
      </c>
      <c r="C126" s="25">
        <f>IF(PaymentSchedule[[#This Row],[PMT NO]]&lt;&gt;"",IF(ROW()-ROW(PaymentSchedule[[#Headers],[BEGINNING BALANCE]])=1,LoanAmount,INDEX(PaymentSchedule[ENDING BALANCE],ROW()-ROW(PaymentSchedule[[#Headers],[BEGINNING BALANCE]])-1)),"")</f>
        <v>952.46204435167931</v>
      </c>
      <c r="D126" s="25">
        <f>IF(PaymentSchedule[[#This Row],[PMT NO]]&lt;&gt;"",ScheduledPayment,"")</f>
        <v>96.560744698389513</v>
      </c>
      <c r="E126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6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6" s="25">
        <f>IF(PaymentSchedule[[#This Row],[PMT NO]]&lt;&gt;"",PaymentSchedule[[#This Row],[TOTAL PAYMENT]]-PaymentSchedule[[#This Row],[INTEREST]],"")</f>
        <v>94.179589587510321</v>
      </c>
      <c r="H126" s="25">
        <f>IF(PaymentSchedule[[#This Row],[PMT NO]]&lt;&gt;"",PaymentSchedule[[#This Row],[BEGINNING BALANCE]]*(InterestRate/PaymentsPerYear),"")</f>
        <v>2.3811551108791984</v>
      </c>
      <c r="I126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858.28245476416896</v>
      </c>
      <c r="J126" s="25">
        <f>IF(PaymentSchedule[[#This Row],[PMT NO]]&lt;&gt;"",SUM(INDEX(PaymentSchedule[INTEREST],1,1):PaymentSchedule[[#This Row],[INTEREST]]),"")</f>
        <v>1576.5251162854076</v>
      </c>
    </row>
    <row r="127" spans="1:10" x14ac:dyDescent="0.3">
      <c r="A127" s="4">
        <f>IF(LoanIsGood,IF(ROW()-ROW(PaymentSchedule[[#Headers],[PMT NO]])&gt;ScheduledNumberOfPayments,"",ROW()-ROW(PaymentSchedule[[#Headers],[PMT NO]])),"")</f>
        <v>112</v>
      </c>
      <c r="B127" s="24">
        <f>IF(PaymentSchedule[[#This Row],[PMT NO]]&lt;&gt;"",EOMONTH(LoanStartDate,ROW(PaymentSchedule[[#This Row],[PMT NO]])-ROW(PaymentSchedule[[#Headers],[PMT NO]])-2)+DAY(LoanStartDate),"")</f>
        <v>48472</v>
      </c>
      <c r="C127" s="25">
        <f>IF(PaymentSchedule[[#This Row],[PMT NO]]&lt;&gt;"",IF(ROW()-ROW(PaymentSchedule[[#Headers],[BEGINNING BALANCE]])=1,LoanAmount,INDEX(PaymentSchedule[ENDING BALANCE],ROW()-ROW(PaymentSchedule[[#Headers],[BEGINNING BALANCE]])-1)),"")</f>
        <v>858.28245476416896</v>
      </c>
      <c r="D127" s="25">
        <f>IF(PaymentSchedule[[#This Row],[PMT NO]]&lt;&gt;"",ScheduledPayment,"")</f>
        <v>96.560744698389513</v>
      </c>
      <c r="E127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7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7" s="25">
        <f>IF(PaymentSchedule[[#This Row],[PMT NO]]&lt;&gt;"",PaymentSchedule[[#This Row],[TOTAL PAYMENT]]-PaymentSchedule[[#This Row],[INTEREST]],"")</f>
        <v>94.415038561479093</v>
      </c>
      <c r="H127" s="25">
        <f>IF(PaymentSchedule[[#This Row],[PMT NO]]&lt;&gt;"",PaymentSchedule[[#This Row],[BEGINNING BALANCE]]*(InterestRate/PaymentsPerYear),"")</f>
        <v>2.1457061369104227</v>
      </c>
      <c r="I127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763.86741620268981</v>
      </c>
      <c r="J127" s="25">
        <f>IF(PaymentSchedule[[#This Row],[PMT NO]]&lt;&gt;"",SUM(INDEX(PaymentSchedule[INTEREST],1,1):PaymentSchedule[[#This Row],[INTEREST]]),"")</f>
        <v>1578.670822422318</v>
      </c>
    </row>
    <row r="128" spans="1:10" x14ac:dyDescent="0.3">
      <c r="A128" s="4">
        <f>IF(LoanIsGood,IF(ROW()-ROW(PaymentSchedule[[#Headers],[PMT NO]])&gt;ScheduledNumberOfPayments,"",ROW()-ROW(PaymentSchedule[[#Headers],[PMT NO]])),"")</f>
        <v>113</v>
      </c>
      <c r="B128" s="24">
        <f>IF(PaymentSchedule[[#This Row],[PMT NO]]&lt;&gt;"",EOMONTH(LoanStartDate,ROW(PaymentSchedule[[#This Row],[PMT NO]])-ROW(PaymentSchedule[[#Headers],[PMT NO]])-2)+DAY(LoanStartDate),"")</f>
        <v>48502</v>
      </c>
      <c r="C128" s="25">
        <f>IF(PaymentSchedule[[#This Row],[PMT NO]]&lt;&gt;"",IF(ROW()-ROW(PaymentSchedule[[#Headers],[BEGINNING BALANCE]])=1,LoanAmount,INDEX(PaymentSchedule[ENDING BALANCE],ROW()-ROW(PaymentSchedule[[#Headers],[BEGINNING BALANCE]])-1)),"")</f>
        <v>763.86741620268981</v>
      </c>
      <c r="D128" s="25">
        <f>IF(PaymentSchedule[[#This Row],[PMT NO]]&lt;&gt;"",ScheduledPayment,"")</f>
        <v>96.560744698389513</v>
      </c>
      <c r="E128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8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8" s="25">
        <f>IF(PaymentSchedule[[#This Row],[PMT NO]]&lt;&gt;"",PaymentSchedule[[#This Row],[TOTAL PAYMENT]]-PaymentSchedule[[#This Row],[INTEREST]],"")</f>
        <v>94.651076157882784</v>
      </c>
      <c r="H128" s="25">
        <f>IF(PaymentSchedule[[#This Row],[PMT NO]]&lt;&gt;"",PaymentSchedule[[#This Row],[BEGINNING BALANCE]]*(InterestRate/PaymentsPerYear),"")</f>
        <v>1.9096685405067246</v>
      </c>
      <c r="I128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669.216340044807</v>
      </c>
      <c r="J128" s="25">
        <f>IF(PaymentSchedule[[#This Row],[PMT NO]]&lt;&gt;"",SUM(INDEX(PaymentSchedule[INTEREST],1,1):PaymentSchedule[[#This Row],[INTEREST]]),"")</f>
        <v>1580.5804909628248</v>
      </c>
    </row>
    <row r="129" spans="1:10" x14ac:dyDescent="0.3">
      <c r="A129" s="4">
        <f>IF(LoanIsGood,IF(ROW()-ROW(PaymentSchedule[[#Headers],[PMT NO]])&gt;ScheduledNumberOfPayments,"",ROW()-ROW(PaymentSchedule[[#Headers],[PMT NO]])),"")</f>
        <v>114</v>
      </c>
      <c r="B129" s="24">
        <f>IF(PaymentSchedule[[#This Row],[PMT NO]]&lt;&gt;"",EOMONTH(LoanStartDate,ROW(PaymentSchedule[[#This Row],[PMT NO]])-ROW(PaymentSchedule[[#Headers],[PMT NO]])-2)+DAY(LoanStartDate),"")</f>
        <v>48533</v>
      </c>
      <c r="C129" s="25">
        <f>IF(PaymentSchedule[[#This Row],[PMT NO]]&lt;&gt;"",IF(ROW()-ROW(PaymentSchedule[[#Headers],[BEGINNING BALANCE]])=1,LoanAmount,INDEX(PaymentSchedule[ENDING BALANCE],ROW()-ROW(PaymentSchedule[[#Headers],[BEGINNING BALANCE]])-1)),"")</f>
        <v>669.216340044807</v>
      </c>
      <c r="D129" s="25">
        <f>IF(PaymentSchedule[[#This Row],[PMT NO]]&lt;&gt;"",ScheduledPayment,"")</f>
        <v>96.560744698389513</v>
      </c>
      <c r="E129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29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29" s="25">
        <f>IF(PaymentSchedule[[#This Row],[PMT NO]]&lt;&gt;"",PaymentSchedule[[#This Row],[TOTAL PAYMENT]]-PaymentSchedule[[#This Row],[INTEREST]],"")</f>
        <v>94.887703848277496</v>
      </c>
      <c r="H129" s="25">
        <f>IF(PaymentSchedule[[#This Row],[PMT NO]]&lt;&gt;"",PaymentSchedule[[#This Row],[BEGINNING BALANCE]]*(InterestRate/PaymentsPerYear),"")</f>
        <v>1.6730408501120175</v>
      </c>
      <c r="I129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574.32863619652949</v>
      </c>
      <c r="J129" s="25">
        <f>IF(PaymentSchedule[[#This Row],[PMT NO]]&lt;&gt;"",SUM(INDEX(PaymentSchedule[INTEREST],1,1):PaymentSchedule[[#This Row],[INTEREST]]),"")</f>
        <v>1582.2535318129369</v>
      </c>
    </row>
    <row r="130" spans="1:10" x14ac:dyDescent="0.3">
      <c r="A130" s="4">
        <f>IF(LoanIsGood,IF(ROW()-ROW(PaymentSchedule[[#Headers],[PMT NO]])&gt;ScheduledNumberOfPayments,"",ROW()-ROW(PaymentSchedule[[#Headers],[PMT NO]])),"")</f>
        <v>115</v>
      </c>
      <c r="B130" s="24">
        <f>IF(PaymentSchedule[[#This Row],[PMT NO]]&lt;&gt;"",EOMONTH(LoanStartDate,ROW(PaymentSchedule[[#This Row],[PMT NO]])-ROW(PaymentSchedule[[#Headers],[PMT NO]])-2)+DAY(LoanStartDate),"")</f>
        <v>48563</v>
      </c>
      <c r="C130" s="25">
        <f>IF(PaymentSchedule[[#This Row],[PMT NO]]&lt;&gt;"",IF(ROW()-ROW(PaymentSchedule[[#Headers],[BEGINNING BALANCE]])=1,LoanAmount,INDEX(PaymentSchedule[ENDING BALANCE],ROW()-ROW(PaymentSchedule[[#Headers],[BEGINNING BALANCE]])-1)),"")</f>
        <v>574.32863619652949</v>
      </c>
      <c r="D130" s="25">
        <f>IF(PaymentSchedule[[#This Row],[PMT NO]]&lt;&gt;"",ScheduledPayment,"")</f>
        <v>96.560744698389513</v>
      </c>
      <c r="E130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0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30" s="25">
        <f>IF(PaymentSchedule[[#This Row],[PMT NO]]&lt;&gt;"",PaymentSchedule[[#This Row],[TOTAL PAYMENT]]-PaymentSchedule[[#This Row],[INTEREST]],"")</f>
        <v>95.124923107898184</v>
      </c>
      <c r="H130" s="25">
        <f>IF(PaymentSchedule[[#This Row],[PMT NO]]&lt;&gt;"",PaymentSchedule[[#This Row],[BEGINNING BALANCE]]*(InterestRate/PaymentsPerYear),"")</f>
        <v>1.4358215904913239</v>
      </c>
      <c r="I130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479.20371308863128</v>
      </c>
      <c r="J130" s="25">
        <f>IF(PaymentSchedule[[#This Row],[PMT NO]]&lt;&gt;"",SUM(INDEX(PaymentSchedule[INTEREST],1,1):PaymentSchedule[[#This Row],[INTEREST]]),"")</f>
        <v>1583.6893534034282</v>
      </c>
    </row>
    <row r="131" spans="1:10" x14ac:dyDescent="0.3">
      <c r="A131" s="4">
        <f>IF(LoanIsGood,IF(ROW()-ROW(PaymentSchedule[[#Headers],[PMT NO]])&gt;ScheduledNumberOfPayments,"",ROW()-ROW(PaymentSchedule[[#Headers],[PMT NO]])),"")</f>
        <v>116</v>
      </c>
      <c r="B131" s="24">
        <f>IF(PaymentSchedule[[#This Row],[PMT NO]]&lt;&gt;"",EOMONTH(LoanStartDate,ROW(PaymentSchedule[[#This Row],[PMT NO]])-ROW(PaymentSchedule[[#Headers],[PMT NO]])-2)+DAY(LoanStartDate),"")</f>
        <v>48594</v>
      </c>
      <c r="C131" s="25">
        <f>IF(PaymentSchedule[[#This Row],[PMT NO]]&lt;&gt;"",IF(ROW()-ROW(PaymentSchedule[[#Headers],[BEGINNING BALANCE]])=1,LoanAmount,INDEX(PaymentSchedule[ENDING BALANCE],ROW()-ROW(PaymentSchedule[[#Headers],[BEGINNING BALANCE]])-1)),"")</f>
        <v>479.20371308863128</v>
      </c>
      <c r="D131" s="25">
        <f>IF(PaymentSchedule[[#This Row],[PMT NO]]&lt;&gt;"",ScheduledPayment,"")</f>
        <v>96.560744698389513</v>
      </c>
      <c r="E131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1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31" s="25">
        <f>IF(PaymentSchedule[[#This Row],[PMT NO]]&lt;&gt;"",PaymentSchedule[[#This Row],[TOTAL PAYMENT]]-PaymentSchedule[[#This Row],[INTEREST]],"")</f>
        <v>95.362735415667942</v>
      </c>
      <c r="H131" s="25">
        <f>IF(PaymentSchedule[[#This Row],[PMT NO]]&lt;&gt;"",PaymentSchedule[[#This Row],[BEGINNING BALANCE]]*(InterestRate/PaymentsPerYear),"")</f>
        <v>1.1980092827215783</v>
      </c>
      <c r="I131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383.84097767296333</v>
      </c>
      <c r="J131" s="25">
        <f>IF(PaymentSchedule[[#This Row],[PMT NO]]&lt;&gt;"",SUM(INDEX(PaymentSchedule[INTEREST],1,1):PaymentSchedule[[#This Row],[INTEREST]]),"")</f>
        <v>1584.8873626861498</v>
      </c>
    </row>
    <row r="132" spans="1:10" x14ac:dyDescent="0.3">
      <c r="A132" s="4">
        <f>IF(LoanIsGood,IF(ROW()-ROW(PaymentSchedule[[#Headers],[PMT NO]])&gt;ScheduledNumberOfPayments,"",ROW()-ROW(PaymentSchedule[[#Headers],[PMT NO]])),"")</f>
        <v>117</v>
      </c>
      <c r="B132" s="24">
        <f>IF(PaymentSchedule[[#This Row],[PMT NO]]&lt;&gt;"",EOMONTH(LoanStartDate,ROW(PaymentSchedule[[#This Row],[PMT NO]])-ROW(PaymentSchedule[[#Headers],[PMT NO]])-2)+DAY(LoanStartDate),"")</f>
        <v>48625</v>
      </c>
      <c r="C132" s="25">
        <f>IF(PaymentSchedule[[#This Row],[PMT NO]]&lt;&gt;"",IF(ROW()-ROW(PaymentSchedule[[#Headers],[BEGINNING BALANCE]])=1,LoanAmount,INDEX(PaymentSchedule[ENDING BALANCE],ROW()-ROW(PaymentSchedule[[#Headers],[BEGINNING BALANCE]])-1)),"")</f>
        <v>383.84097767296333</v>
      </c>
      <c r="D132" s="25">
        <f>IF(PaymentSchedule[[#This Row],[PMT NO]]&lt;&gt;"",ScheduledPayment,"")</f>
        <v>96.560744698389513</v>
      </c>
      <c r="E132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2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32" s="25">
        <f>IF(PaymentSchedule[[#This Row],[PMT NO]]&lt;&gt;"",PaymentSchedule[[#This Row],[TOTAL PAYMENT]]-PaymentSchedule[[#This Row],[INTEREST]],"")</f>
        <v>95.601142254207105</v>
      </c>
      <c r="H132" s="25">
        <f>IF(PaymentSchedule[[#This Row],[PMT NO]]&lt;&gt;"",PaymentSchedule[[#This Row],[BEGINNING BALANCE]]*(InterestRate/PaymentsPerYear),"")</f>
        <v>0.95960244418240837</v>
      </c>
      <c r="I132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288.23983541875623</v>
      </c>
      <c r="J132" s="25">
        <f>IF(PaymentSchedule[[#This Row],[PMT NO]]&lt;&gt;"",SUM(INDEX(PaymentSchedule[INTEREST],1,1):PaymentSchedule[[#This Row],[INTEREST]]),"")</f>
        <v>1585.8469651303321</v>
      </c>
    </row>
    <row r="133" spans="1:10" x14ac:dyDescent="0.3">
      <c r="A133" s="4">
        <f>IF(LoanIsGood,IF(ROW()-ROW(PaymentSchedule[[#Headers],[PMT NO]])&gt;ScheduledNumberOfPayments,"",ROW()-ROW(PaymentSchedule[[#Headers],[PMT NO]])),"")</f>
        <v>118</v>
      </c>
      <c r="B133" s="24">
        <f>IF(PaymentSchedule[[#This Row],[PMT NO]]&lt;&gt;"",EOMONTH(LoanStartDate,ROW(PaymentSchedule[[#This Row],[PMT NO]])-ROW(PaymentSchedule[[#Headers],[PMT NO]])-2)+DAY(LoanStartDate),"")</f>
        <v>48653</v>
      </c>
      <c r="C133" s="25">
        <f>IF(PaymentSchedule[[#This Row],[PMT NO]]&lt;&gt;"",IF(ROW()-ROW(PaymentSchedule[[#Headers],[BEGINNING BALANCE]])=1,LoanAmount,INDEX(PaymentSchedule[ENDING BALANCE],ROW()-ROW(PaymentSchedule[[#Headers],[BEGINNING BALANCE]])-1)),"")</f>
        <v>288.23983541875623</v>
      </c>
      <c r="D133" s="25">
        <f>IF(PaymentSchedule[[#This Row],[PMT NO]]&lt;&gt;"",ScheduledPayment,"")</f>
        <v>96.560744698389513</v>
      </c>
      <c r="E133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3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33" s="25">
        <f>IF(PaymentSchedule[[#This Row],[PMT NO]]&lt;&gt;"",PaymentSchedule[[#This Row],[TOTAL PAYMENT]]-PaymentSchedule[[#This Row],[INTEREST]],"")</f>
        <v>95.840145109842624</v>
      </c>
      <c r="H133" s="25">
        <f>IF(PaymentSchedule[[#This Row],[PMT NO]]&lt;&gt;"",PaymentSchedule[[#This Row],[BEGINNING BALANCE]]*(InterestRate/PaymentsPerYear),"")</f>
        <v>0.72059958854689055</v>
      </c>
      <c r="I133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192.39969030891359</v>
      </c>
      <c r="J133" s="25">
        <f>IF(PaymentSchedule[[#This Row],[PMT NO]]&lt;&gt;"",SUM(INDEX(PaymentSchedule[INTEREST],1,1):PaymentSchedule[[#This Row],[INTEREST]]),"")</f>
        <v>1586.5675647188791</v>
      </c>
    </row>
    <row r="134" spans="1:10" x14ac:dyDescent="0.3">
      <c r="A134" s="4">
        <f>IF(LoanIsGood,IF(ROW()-ROW(PaymentSchedule[[#Headers],[PMT NO]])&gt;ScheduledNumberOfPayments,"",ROW()-ROW(PaymentSchedule[[#Headers],[PMT NO]])),"")</f>
        <v>119</v>
      </c>
      <c r="B134" s="24">
        <f>IF(PaymentSchedule[[#This Row],[PMT NO]]&lt;&gt;"",EOMONTH(LoanStartDate,ROW(PaymentSchedule[[#This Row],[PMT NO]])-ROW(PaymentSchedule[[#Headers],[PMT NO]])-2)+DAY(LoanStartDate),"")</f>
        <v>48684</v>
      </c>
      <c r="C134" s="25">
        <f>IF(PaymentSchedule[[#This Row],[PMT NO]]&lt;&gt;"",IF(ROW()-ROW(PaymentSchedule[[#Headers],[BEGINNING BALANCE]])=1,LoanAmount,INDEX(PaymentSchedule[ENDING BALANCE],ROW()-ROW(PaymentSchedule[[#Headers],[BEGINNING BALANCE]])-1)),"")</f>
        <v>192.39969030891359</v>
      </c>
      <c r="D134" s="25">
        <f>IF(PaymentSchedule[[#This Row],[PMT NO]]&lt;&gt;"",ScheduledPayment,"")</f>
        <v>96.560744698389513</v>
      </c>
      <c r="E134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4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96.560744698389513</v>
      </c>
      <c r="G134" s="25">
        <f>IF(PaymentSchedule[[#This Row],[PMT NO]]&lt;&gt;"",PaymentSchedule[[#This Row],[TOTAL PAYMENT]]-PaymentSchedule[[#This Row],[INTEREST]],"")</f>
        <v>96.079745472617233</v>
      </c>
      <c r="H134" s="25">
        <f>IF(PaymentSchedule[[#This Row],[PMT NO]]&lt;&gt;"",PaymentSchedule[[#This Row],[BEGINNING BALANCE]]*(InterestRate/PaymentsPerYear),"")</f>
        <v>0.48099922577228399</v>
      </c>
      <c r="I134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96.319944836296358</v>
      </c>
      <c r="J134" s="25">
        <f>IF(PaymentSchedule[[#This Row],[PMT NO]]&lt;&gt;"",SUM(INDEX(PaymentSchedule[INTEREST],1,1):PaymentSchedule[[#This Row],[INTEREST]]),"")</f>
        <v>1587.0485639446515</v>
      </c>
    </row>
    <row r="135" spans="1:10" x14ac:dyDescent="0.3">
      <c r="A135" s="4">
        <f>IF(LoanIsGood,IF(ROW()-ROW(PaymentSchedule[[#Headers],[PMT NO]])&gt;ScheduledNumberOfPayments,"",ROW()-ROW(PaymentSchedule[[#Headers],[PMT NO]])),"")</f>
        <v>120</v>
      </c>
      <c r="B135" s="24">
        <f>IF(PaymentSchedule[[#This Row],[PMT NO]]&lt;&gt;"",EOMONTH(LoanStartDate,ROW(PaymentSchedule[[#This Row],[PMT NO]])-ROW(PaymentSchedule[[#Headers],[PMT NO]])-2)+DAY(LoanStartDate),"")</f>
        <v>48714</v>
      </c>
      <c r="C135" s="25">
        <f>IF(PaymentSchedule[[#This Row],[PMT NO]]&lt;&gt;"",IF(ROW()-ROW(PaymentSchedule[[#Headers],[BEGINNING BALANCE]])=1,LoanAmount,INDEX(PaymentSchedule[ENDING BALANCE],ROW()-ROW(PaymentSchedule[[#Headers],[BEGINNING BALANCE]])-1)),"")</f>
        <v>96.319944836296358</v>
      </c>
      <c r="D135" s="25">
        <f>IF(PaymentSchedule[[#This Row],[PMT NO]]&lt;&gt;"",ScheduledPayment,"")</f>
        <v>96.560744698389513</v>
      </c>
      <c r="E135" s="25">
        <f>IF(PaymentSchedule[[#This Row],[PMT NO]]&lt;&gt;"",IF(PaymentSchedule[[#This Row],[SCHEDULED PAYMENT]]+ExtraPayments&lt;PaymentSchedule[[#This Row],[BEGINNING BALANCE]],ExtraPayments,IF(PaymentSchedule[[#This Row],[BEGINNING BALANCE]]-PaymentSchedule[[#This Row],[SCHEDULED PAYMENT]]&gt;0,PaymentSchedule[[#This Row],[BEGINNING BALANCE]]-PaymentSchedule[[#This Row],[SCHEDULED PAYMENT]],0)),"")</f>
        <v>0</v>
      </c>
      <c r="F135" s="25">
        <f>IF(PaymentSchedule[[#This Row],[PMT NO]]&lt;&gt;"",IF(PaymentSchedule[[#This Row],[SCHEDULED PAYMENT]]+PaymentSchedule[[#This Row],[EXTRA PAYMENT]]&lt;=PaymentSchedule[[#This Row],[BEGINNING BALANCE]],PaymentSchedule[[#This Row],[SCHEDULED PAYMENT]]+PaymentSchedule[[#This Row],[EXTRA PAYMENT]],PaymentSchedule[[#This Row],[BEGINNING BALANCE]]),"")</f>
        <v>96.319944836296358</v>
      </c>
      <c r="G135" s="25">
        <f>IF(PaymentSchedule[[#This Row],[PMT NO]]&lt;&gt;"",PaymentSchedule[[#This Row],[TOTAL PAYMENT]]-PaymentSchedule[[#This Row],[INTEREST]],"")</f>
        <v>96.079144974205619</v>
      </c>
      <c r="H135" s="25">
        <f>IF(PaymentSchedule[[#This Row],[PMT NO]]&lt;&gt;"",PaymentSchedule[[#This Row],[BEGINNING BALANCE]]*(InterestRate/PaymentsPerYear),"")</f>
        <v>0.24079986209074089</v>
      </c>
      <c r="I135" s="25">
        <f>IF(PaymentSchedule[[#This Row],[PMT NO]]&lt;&gt;"",IF(PaymentSchedule[[#This Row],[SCHEDULED PAYMENT]]+PaymentSchedule[[#This Row],[EXTRA PAYMENT]]&lt;=PaymentSchedule[[#This Row],[BEGINNING BALANCE]],PaymentSchedule[[#This Row],[BEGINNING BALANCE]]-PaymentSchedule[[#This Row],[PRINCIPAL]],0),"")</f>
        <v>0</v>
      </c>
      <c r="J135" s="25">
        <f>IF(PaymentSchedule[[#This Row],[PMT NO]]&lt;&gt;"",SUM(INDEX(PaymentSchedule[INTEREST],1,1):PaymentSchedule[[#This Row],[INTEREST]]),"")</f>
        <v>1587.2893638067424</v>
      </c>
    </row>
    <row r="136" spans="1:10" x14ac:dyDescent="0.3">
      <c r="A136" s="4"/>
      <c r="B136" s="5"/>
      <c r="C136" s="7"/>
      <c r="D136" s="7"/>
      <c r="E136" s="7"/>
      <c r="F136" s="7"/>
      <c r="G136" s="7"/>
      <c r="H136" s="7"/>
      <c r="I136" s="7"/>
      <c r="J136" s="7"/>
    </row>
    <row r="137" spans="1:10" x14ac:dyDescent="0.3">
      <c r="A137" s="4"/>
      <c r="B137" s="5"/>
      <c r="C137" s="7"/>
      <c r="D137" s="7"/>
      <c r="E137" s="7"/>
      <c r="F137" s="7"/>
      <c r="G137" s="7"/>
      <c r="H137" s="7"/>
      <c r="I137" s="7"/>
      <c r="J137" s="7"/>
    </row>
    <row r="138" spans="1:10" x14ac:dyDescent="0.3">
      <c r="A138" s="4"/>
      <c r="B138" s="5"/>
      <c r="C138" s="7"/>
      <c r="D138" s="7"/>
      <c r="E138" s="7"/>
      <c r="F138" s="7"/>
      <c r="G138" s="7"/>
      <c r="H138" s="7"/>
      <c r="I138" s="7"/>
      <c r="J138" s="7"/>
    </row>
    <row r="139" spans="1:10" x14ac:dyDescent="0.3">
      <c r="A139" s="4"/>
      <c r="B139" s="5"/>
      <c r="C139" s="7"/>
      <c r="D139" s="7"/>
      <c r="E139" s="7"/>
      <c r="F139" s="7"/>
      <c r="G139" s="7"/>
      <c r="H139" s="7"/>
      <c r="I139" s="7"/>
      <c r="J139" s="7"/>
    </row>
    <row r="140" spans="1:10" x14ac:dyDescent="0.3">
      <c r="A140" s="4"/>
      <c r="B140" s="5"/>
      <c r="C140" s="7"/>
      <c r="D140" s="7"/>
      <c r="E140" s="7"/>
      <c r="F140" s="7"/>
      <c r="G140" s="7"/>
      <c r="H140" s="7"/>
      <c r="I140" s="7"/>
      <c r="J140" s="7"/>
    </row>
    <row r="141" spans="1:10" x14ac:dyDescent="0.3">
      <c r="A141" s="4"/>
      <c r="B141" s="5"/>
      <c r="C141" s="7"/>
      <c r="D141" s="7"/>
      <c r="E141" s="7"/>
      <c r="F141" s="7"/>
      <c r="G141" s="7"/>
      <c r="H141" s="7"/>
      <c r="I141" s="7"/>
      <c r="J141" s="7"/>
    </row>
    <row r="142" spans="1:10" x14ac:dyDescent="0.3">
      <c r="A142" s="4"/>
      <c r="B142" s="5"/>
      <c r="C142" s="7"/>
      <c r="D142" s="7"/>
      <c r="E142" s="7"/>
      <c r="F142" s="7"/>
      <c r="G142" s="7"/>
      <c r="H142" s="7"/>
      <c r="I142" s="7"/>
      <c r="J142" s="7"/>
    </row>
    <row r="143" spans="1:10" x14ac:dyDescent="0.3">
      <c r="A143" s="4"/>
      <c r="B143" s="5"/>
      <c r="C143" s="7"/>
      <c r="D143" s="7"/>
      <c r="E143" s="7"/>
      <c r="F143" s="7"/>
      <c r="G143" s="7"/>
      <c r="H143" s="7"/>
      <c r="I143" s="7"/>
      <c r="J143" s="7"/>
    </row>
    <row r="144" spans="1:10" x14ac:dyDescent="0.3">
      <c r="A144" s="4"/>
      <c r="B144" s="5"/>
      <c r="C144" s="7"/>
      <c r="D144" s="7"/>
      <c r="E144" s="7"/>
      <c r="F144" s="7"/>
      <c r="G144" s="7"/>
      <c r="H144" s="7"/>
      <c r="I144" s="7"/>
      <c r="J144" s="7"/>
    </row>
    <row r="145" spans="1:10" x14ac:dyDescent="0.3">
      <c r="A145" s="4"/>
      <c r="B145" s="5"/>
      <c r="C145" s="7"/>
      <c r="D145" s="7"/>
      <c r="E145" s="7"/>
      <c r="F145" s="7"/>
      <c r="G145" s="7"/>
      <c r="H145" s="7"/>
      <c r="I145" s="7"/>
      <c r="J145" s="7"/>
    </row>
    <row r="146" spans="1:10" x14ac:dyDescent="0.3">
      <c r="A146" s="4"/>
      <c r="B146" s="5"/>
      <c r="C146" s="7"/>
      <c r="D146" s="7"/>
      <c r="E146" s="7"/>
      <c r="F146" s="7"/>
      <c r="G146" s="7"/>
      <c r="H146" s="7"/>
      <c r="I146" s="7"/>
      <c r="J146" s="7"/>
    </row>
    <row r="147" spans="1:10" x14ac:dyDescent="0.3">
      <c r="A147" s="4"/>
      <c r="B147" s="5"/>
      <c r="C147" s="7"/>
      <c r="D147" s="7"/>
      <c r="E147" s="7"/>
      <c r="F147" s="7"/>
      <c r="G147" s="7"/>
      <c r="H147" s="7"/>
      <c r="I147" s="7"/>
      <c r="J147" s="7"/>
    </row>
    <row r="148" spans="1:10" x14ac:dyDescent="0.3">
      <c r="A148" s="4"/>
      <c r="B148" s="5"/>
      <c r="C148" s="7"/>
      <c r="D148" s="7"/>
      <c r="E148" s="7"/>
      <c r="F148" s="7"/>
      <c r="G148" s="7"/>
      <c r="H148" s="7"/>
      <c r="I148" s="7"/>
      <c r="J148" s="7"/>
    </row>
    <row r="149" spans="1:10" x14ac:dyDescent="0.3">
      <c r="A149" s="4"/>
      <c r="B149" s="5"/>
      <c r="C149" s="7"/>
      <c r="D149" s="7"/>
      <c r="E149" s="7"/>
      <c r="F149" s="7"/>
      <c r="G149" s="7"/>
      <c r="H149" s="7"/>
      <c r="I149" s="7"/>
      <c r="J149" s="7"/>
    </row>
    <row r="150" spans="1:10" x14ac:dyDescent="0.3">
      <c r="A150" s="4"/>
      <c r="B150" s="5"/>
      <c r="C150" s="7"/>
      <c r="D150" s="7"/>
      <c r="E150" s="7"/>
      <c r="F150" s="7"/>
      <c r="G150" s="7"/>
      <c r="H150" s="7"/>
      <c r="I150" s="7"/>
      <c r="J150" s="7"/>
    </row>
    <row r="151" spans="1:10" x14ac:dyDescent="0.3">
      <c r="A151" s="4"/>
      <c r="B151" s="5"/>
      <c r="C151" s="7"/>
      <c r="D151" s="7"/>
      <c r="E151" s="7"/>
      <c r="F151" s="7"/>
      <c r="G151" s="7"/>
      <c r="H151" s="7"/>
      <c r="I151" s="7"/>
      <c r="J151" s="7"/>
    </row>
    <row r="152" spans="1:10" x14ac:dyDescent="0.3">
      <c r="A152" s="4"/>
      <c r="B152" s="5"/>
      <c r="C152" s="7"/>
      <c r="D152" s="7"/>
      <c r="E152" s="7"/>
      <c r="F152" s="7"/>
      <c r="G152" s="7"/>
      <c r="H152" s="7"/>
      <c r="I152" s="7"/>
      <c r="J152" s="7"/>
    </row>
    <row r="153" spans="1:10" x14ac:dyDescent="0.3">
      <c r="A153" s="4"/>
      <c r="B153" s="5"/>
      <c r="C153" s="7"/>
      <c r="D153" s="7"/>
      <c r="E153" s="7"/>
      <c r="F153" s="7"/>
      <c r="G153" s="7"/>
      <c r="H153" s="7"/>
      <c r="I153" s="7"/>
      <c r="J153" s="7"/>
    </row>
    <row r="154" spans="1:10" x14ac:dyDescent="0.3">
      <c r="A154" s="4"/>
      <c r="B154" s="5"/>
      <c r="C154" s="7"/>
      <c r="D154" s="7"/>
      <c r="E154" s="7"/>
      <c r="F154" s="7"/>
      <c r="G154" s="7"/>
      <c r="H154" s="7"/>
      <c r="I154" s="7"/>
      <c r="J154" s="7"/>
    </row>
    <row r="155" spans="1:10" x14ac:dyDescent="0.3">
      <c r="A155" s="4"/>
      <c r="B155" s="5"/>
      <c r="C155" s="7"/>
      <c r="D155" s="7"/>
      <c r="E155" s="7"/>
      <c r="F155" s="7"/>
      <c r="G155" s="7"/>
      <c r="H155" s="7"/>
      <c r="I155" s="7"/>
      <c r="J155" s="7"/>
    </row>
    <row r="156" spans="1:10" x14ac:dyDescent="0.3">
      <c r="A156" s="4"/>
      <c r="B156" s="5"/>
      <c r="C156" s="7"/>
      <c r="D156" s="7"/>
      <c r="E156" s="7"/>
      <c r="F156" s="7"/>
      <c r="G156" s="7"/>
      <c r="H156" s="7"/>
      <c r="I156" s="7"/>
      <c r="J156" s="7"/>
    </row>
    <row r="157" spans="1:10" x14ac:dyDescent="0.3">
      <c r="A157" s="4"/>
      <c r="B157" s="5"/>
      <c r="C157" s="7"/>
      <c r="D157" s="7"/>
      <c r="E157" s="7"/>
      <c r="F157" s="7"/>
      <c r="G157" s="7"/>
      <c r="H157" s="7"/>
      <c r="I157" s="7"/>
      <c r="J157" s="7"/>
    </row>
    <row r="158" spans="1:10" x14ac:dyDescent="0.3">
      <c r="A158" s="4"/>
      <c r="B158" s="5"/>
      <c r="C158" s="7"/>
      <c r="D158" s="7"/>
      <c r="E158" s="7"/>
      <c r="F158" s="7"/>
      <c r="G158" s="7"/>
      <c r="H158" s="7"/>
      <c r="I158" s="7"/>
      <c r="J158" s="7"/>
    </row>
    <row r="159" spans="1:10" x14ac:dyDescent="0.3">
      <c r="A159" s="4"/>
      <c r="B159" s="5"/>
      <c r="C159" s="7"/>
      <c r="D159" s="7"/>
      <c r="E159" s="7"/>
      <c r="F159" s="7"/>
      <c r="G159" s="7"/>
      <c r="H159" s="7"/>
      <c r="I159" s="7"/>
      <c r="J159" s="7"/>
    </row>
    <row r="160" spans="1:10" x14ac:dyDescent="0.3">
      <c r="A160" s="4"/>
      <c r="B160" s="5"/>
      <c r="C160" s="7"/>
      <c r="D160" s="7"/>
      <c r="E160" s="7"/>
      <c r="F160" s="7"/>
      <c r="G160" s="7"/>
      <c r="H160" s="7"/>
      <c r="I160" s="7"/>
      <c r="J160" s="7"/>
    </row>
    <row r="161" spans="1:10" x14ac:dyDescent="0.3">
      <c r="A161" s="4"/>
      <c r="B161" s="5"/>
      <c r="C161" s="7"/>
      <c r="D161" s="7"/>
      <c r="E161" s="7"/>
      <c r="F161" s="7"/>
      <c r="G161" s="7"/>
      <c r="H161" s="7"/>
      <c r="I161" s="7"/>
      <c r="J161" s="7"/>
    </row>
    <row r="162" spans="1:10" x14ac:dyDescent="0.3">
      <c r="A162" s="4"/>
      <c r="B162" s="5"/>
      <c r="C162" s="7"/>
      <c r="D162" s="7"/>
      <c r="E162" s="7"/>
      <c r="F162" s="7"/>
      <c r="G162" s="7"/>
      <c r="H162" s="7"/>
      <c r="I162" s="7"/>
      <c r="J162" s="7"/>
    </row>
    <row r="163" spans="1:10" x14ac:dyDescent="0.3">
      <c r="A163" s="4"/>
      <c r="B163" s="5"/>
      <c r="C163" s="7"/>
      <c r="D163" s="7"/>
      <c r="E163" s="7"/>
      <c r="F163" s="7"/>
      <c r="G163" s="7"/>
      <c r="H163" s="7"/>
      <c r="I163" s="7"/>
      <c r="J163" s="7"/>
    </row>
    <row r="164" spans="1:10" x14ac:dyDescent="0.3">
      <c r="A164" s="4"/>
      <c r="B164" s="5"/>
      <c r="C164" s="7"/>
      <c r="D164" s="7"/>
      <c r="E164" s="7"/>
      <c r="F164" s="7"/>
      <c r="G164" s="7"/>
      <c r="H164" s="7"/>
      <c r="I164" s="7"/>
      <c r="J164" s="7"/>
    </row>
    <row r="165" spans="1:10" x14ac:dyDescent="0.3">
      <c r="A165" s="4"/>
      <c r="B165" s="5"/>
      <c r="C165" s="7"/>
      <c r="D165" s="7"/>
      <c r="E165" s="7"/>
      <c r="F165" s="7"/>
      <c r="G165" s="7"/>
      <c r="H165" s="7"/>
      <c r="I165" s="7"/>
      <c r="J165" s="7"/>
    </row>
    <row r="166" spans="1:10" x14ac:dyDescent="0.3">
      <c r="A166" s="4"/>
      <c r="B166" s="5"/>
      <c r="C166" s="7"/>
      <c r="D166" s="7"/>
      <c r="E166" s="7"/>
      <c r="F166" s="7"/>
      <c r="G166" s="7"/>
      <c r="H166" s="7"/>
      <c r="I166" s="7"/>
      <c r="J166" s="7"/>
    </row>
    <row r="167" spans="1:10" x14ac:dyDescent="0.3">
      <c r="A167" s="4"/>
      <c r="B167" s="5"/>
      <c r="C167" s="7"/>
      <c r="D167" s="7"/>
      <c r="E167" s="7"/>
      <c r="F167" s="7"/>
      <c r="G167" s="7"/>
      <c r="H167" s="7"/>
      <c r="I167" s="7"/>
      <c r="J167" s="7"/>
    </row>
    <row r="168" spans="1:10" x14ac:dyDescent="0.3">
      <c r="A168" s="4"/>
      <c r="B168" s="5"/>
      <c r="C168" s="7"/>
      <c r="D168" s="7"/>
      <c r="E168" s="7"/>
      <c r="F168" s="7"/>
      <c r="G168" s="7"/>
      <c r="H168" s="7"/>
      <c r="I168" s="7"/>
      <c r="J168" s="7"/>
    </row>
    <row r="169" spans="1:10" x14ac:dyDescent="0.3">
      <c r="A169" s="4"/>
      <c r="B169" s="5"/>
      <c r="C169" s="7"/>
      <c r="D169" s="7"/>
      <c r="E169" s="7"/>
      <c r="F169" s="7"/>
      <c r="G169" s="7"/>
      <c r="H169" s="7"/>
      <c r="I169" s="7"/>
      <c r="J169" s="7"/>
    </row>
    <row r="170" spans="1:10" x14ac:dyDescent="0.3">
      <c r="A170" s="4"/>
      <c r="B170" s="5"/>
      <c r="C170" s="7"/>
      <c r="D170" s="7"/>
      <c r="E170" s="7"/>
      <c r="F170" s="7"/>
      <c r="G170" s="7"/>
      <c r="H170" s="7"/>
      <c r="I170" s="7"/>
      <c r="J170" s="7"/>
    </row>
    <row r="171" spans="1:10" x14ac:dyDescent="0.3">
      <c r="A171" s="4"/>
      <c r="B171" s="5"/>
      <c r="C171" s="7"/>
      <c r="D171" s="7"/>
      <c r="E171" s="7"/>
      <c r="F171" s="7"/>
      <c r="G171" s="7"/>
      <c r="H171" s="7"/>
      <c r="I171" s="7"/>
      <c r="J171" s="7"/>
    </row>
    <row r="172" spans="1:10" x14ac:dyDescent="0.3">
      <c r="A172" s="4"/>
      <c r="B172" s="5"/>
      <c r="C172" s="7"/>
      <c r="D172" s="7"/>
      <c r="E172" s="7"/>
      <c r="F172" s="7"/>
      <c r="G172" s="7"/>
      <c r="H172" s="7"/>
      <c r="I172" s="7"/>
      <c r="J172" s="7"/>
    </row>
    <row r="173" spans="1:10" x14ac:dyDescent="0.3">
      <c r="A173" s="4"/>
      <c r="B173" s="5"/>
      <c r="C173" s="7"/>
      <c r="D173" s="7"/>
      <c r="E173" s="7"/>
      <c r="F173" s="7"/>
      <c r="G173" s="7"/>
      <c r="H173" s="7"/>
      <c r="I173" s="7"/>
      <c r="J173" s="7"/>
    </row>
    <row r="174" spans="1:10" x14ac:dyDescent="0.3">
      <c r="A174" s="4"/>
      <c r="B174" s="5"/>
      <c r="C174" s="7"/>
      <c r="D174" s="7"/>
      <c r="E174" s="7"/>
      <c r="F174" s="7"/>
      <c r="G174" s="7"/>
      <c r="H174" s="7"/>
      <c r="I174" s="7"/>
      <c r="J174" s="7"/>
    </row>
    <row r="175" spans="1:10" x14ac:dyDescent="0.3">
      <c r="A175" s="4"/>
      <c r="B175" s="5"/>
      <c r="C175" s="7"/>
      <c r="D175" s="7"/>
      <c r="E175" s="7"/>
      <c r="F175" s="7"/>
      <c r="G175" s="7"/>
      <c r="H175" s="7"/>
      <c r="I175" s="7"/>
      <c r="J175" s="7"/>
    </row>
    <row r="176" spans="1:10" x14ac:dyDescent="0.3">
      <c r="A176" s="4"/>
      <c r="B176" s="5"/>
      <c r="C176" s="7"/>
      <c r="D176" s="7"/>
      <c r="E176" s="7"/>
      <c r="F176" s="7"/>
      <c r="G176" s="7"/>
      <c r="H176" s="7"/>
      <c r="I176" s="7"/>
      <c r="J176" s="7"/>
    </row>
    <row r="177" spans="1:10" x14ac:dyDescent="0.3">
      <c r="A177" s="4"/>
      <c r="B177" s="5"/>
      <c r="C177" s="7"/>
      <c r="D177" s="7"/>
      <c r="E177" s="7"/>
      <c r="F177" s="7"/>
      <c r="G177" s="7"/>
      <c r="H177" s="7"/>
      <c r="I177" s="7"/>
      <c r="J177" s="7"/>
    </row>
    <row r="178" spans="1:10" x14ac:dyDescent="0.3">
      <c r="A178" s="4"/>
      <c r="B178" s="5"/>
      <c r="C178" s="7"/>
      <c r="D178" s="7"/>
      <c r="E178" s="7"/>
      <c r="F178" s="7"/>
      <c r="G178" s="7"/>
      <c r="H178" s="7"/>
      <c r="I178" s="7"/>
      <c r="J178" s="7"/>
    </row>
  </sheetData>
  <mergeCells count="13">
    <mergeCell ref="G14:H14"/>
    <mergeCell ref="B13:C13"/>
    <mergeCell ref="F7:G7"/>
    <mergeCell ref="F8:G8"/>
    <mergeCell ref="F9:G9"/>
    <mergeCell ref="F10:G10"/>
    <mergeCell ref="F11:G11"/>
    <mergeCell ref="G13:H13"/>
    <mergeCell ref="B7:C7"/>
    <mergeCell ref="B9:C9"/>
    <mergeCell ref="B10:C10"/>
    <mergeCell ref="B11:C11"/>
    <mergeCell ref="F12:G12"/>
  </mergeCells>
  <conditionalFormatting sqref="A16:J178">
    <cfRule type="expression" dxfId="0" priority="1">
      <formula>($A16="")+(($C16=0)*($E16=0))</formula>
    </cfRule>
  </conditionalFormatting>
  <dataValidations xWindow="1089" yWindow="192" count="25">
    <dataValidation allowBlank="1" showInputMessage="1" showErrorMessage="1" prompt="Enter Loan Amount in this cell" sqref="D7" xr:uid="{00000000-0002-0000-0000-000000000000}"/>
    <dataValidation allowBlank="1" showInputMessage="1" showErrorMessage="1" prompt="Enter interest rate to be paid annually in this cell" sqref="D8" xr:uid="{00000000-0002-0000-0000-000001000000}"/>
    <dataValidation allowBlank="1" showInputMessage="1" showErrorMessage="1" prompt="Enter loan period in years in this cell" sqref="D9" xr:uid="{00000000-0002-0000-0000-000002000000}"/>
    <dataValidation allowBlank="1" showInputMessage="1" showErrorMessage="1" prompt="Enter the number of payments to be made in a year in this cell" sqref="D10" xr:uid="{00000000-0002-0000-0000-000003000000}"/>
    <dataValidation allowBlank="1" showInputMessage="1" showErrorMessage="1" prompt="Enter the start date of loan in this cell" sqref="D11" xr:uid="{00000000-0002-0000-0000-000004000000}"/>
    <dataValidation allowBlank="1" showInputMessage="1" showErrorMessage="1" prompt="Enter the amount of extra payment in this cell" sqref="D13" xr:uid="{00000000-0002-0000-0000-000005000000}"/>
    <dataValidation allowBlank="1" showInputMessage="1" showErrorMessage="1" prompt="Automatically calculated total interest" sqref="H12" xr:uid="{00000000-0002-0000-0000-000006000000}"/>
    <dataValidation allowBlank="1" showInputMessage="1" showErrorMessage="1" prompt="Automatically updated scheduled payment amount" sqref="H7" xr:uid="{00000000-0002-0000-0000-000007000000}"/>
    <dataValidation allowBlank="1" showInputMessage="1" showErrorMessage="1" prompt="Automatically updated scheduled number of payments" sqref="H8" xr:uid="{00000000-0002-0000-0000-000008000000}"/>
    <dataValidation allowBlank="1" showInputMessage="1" showErrorMessage="1" prompt="Automatically updated actual number of payments" sqref="H9" xr:uid="{00000000-0002-0000-0000-000009000000}"/>
    <dataValidation allowBlank="1" showInputMessage="1" showErrorMessage="1" prompt="Enter loan values in cells E3 to E7 and E9. Description of each loan value is in column C. Payment Schedule table starting in cell B11 will automatically update" sqref="B6" xr:uid="{00000000-0002-0000-0000-00000B000000}"/>
    <dataValidation allowBlank="1" showInputMessage="1" showErrorMessage="1" prompt="Loan Summary fields from I3 to I7 are automatically adjusted based on the values entered. Enter the Lender's name in I9" sqref="F6" xr:uid="{00000000-0002-0000-0000-00000C000000}"/>
    <dataValidation allowBlank="1" showInputMessage="1" showErrorMessage="1" prompt="Worksheet title is in this cell. Enter loan values in cells E3 to E7 &amp; extra payments in cell E9, loan summary in column I &amp; Payment Schedule table will automatically update" sqref="A5" xr:uid="{00000000-0002-0000-0000-00000D000000}"/>
    <dataValidation allowBlank="1" showInputMessage="1" showErrorMessage="1" prompt="Automatically updated total early payments" sqref="H10:H11" xr:uid="{00000000-0002-0000-0000-00000E000000}"/>
    <dataValidation allowBlank="1" showInputMessage="1" showErrorMessage="1" prompt="Payment number is automatically updated in this column" sqref="A15" xr:uid="{00000000-0002-0000-0000-00000F000000}"/>
    <dataValidation allowBlank="1" showInputMessage="1" showErrorMessage="1" prompt="Payment date is automatically updated in this column" sqref="B15" xr:uid="{00000000-0002-0000-0000-000010000000}"/>
    <dataValidation allowBlank="1" showInputMessage="1" showErrorMessage="1" prompt="Beginning balance is automatically updated in this column" sqref="C15" xr:uid="{00000000-0002-0000-0000-000011000000}"/>
    <dataValidation allowBlank="1" showInputMessage="1" showErrorMessage="1" prompt="Scheduled payment is automatically updated in this column" sqref="D15" xr:uid="{00000000-0002-0000-0000-000012000000}"/>
    <dataValidation allowBlank="1" showInputMessage="1" showErrorMessage="1" prompt="Extra payment is automatically updated in this column" sqref="E15" xr:uid="{00000000-0002-0000-0000-000013000000}"/>
    <dataValidation allowBlank="1" showInputMessage="1" showErrorMessage="1" prompt="Total payment is automatically updated in this column" sqref="F15" xr:uid="{00000000-0002-0000-0000-000014000000}"/>
    <dataValidation allowBlank="1" showInputMessage="1" showErrorMessage="1" prompt="Principal is automatically updated in this column" sqref="G15" xr:uid="{00000000-0002-0000-0000-000015000000}"/>
    <dataValidation allowBlank="1" showInputMessage="1" showErrorMessage="1" prompt="Interest is automatically updated in this column" sqref="H15" xr:uid="{00000000-0002-0000-0000-000016000000}"/>
    <dataValidation allowBlank="1" showInputMessage="1" showErrorMessage="1" prompt="Ending balance is automatically updated in this column" sqref="I15" xr:uid="{00000000-0002-0000-0000-000017000000}"/>
    <dataValidation allowBlank="1" showInputMessage="1" showErrorMessage="1" prompt="Cumulative interest is automatically updated in this column" sqref="J15" xr:uid="{00000000-0002-0000-0000-000018000000}"/>
    <dataValidation allowBlank="1" showInputMessage="1" showErrorMessage="1" prompt="Enter the name of the lender in this cell" sqref="G13:H14" xr:uid="{00000000-0002-0000-0000-000019000000}"/>
  </dataValidations>
  <printOptions horizontalCentered="1"/>
  <pageMargins left="0.4" right="0.4" top="0.4" bottom="0.5" header="0.3" footer="0.3"/>
  <pageSetup scale="78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Excel Amortization Schedule</vt:lpstr>
      <vt:lpstr>ColumnTitle1</vt:lpstr>
      <vt:lpstr>End_Bal</vt:lpstr>
      <vt:lpstr>ExtraPayments</vt:lpstr>
      <vt:lpstr>InterestRate</vt:lpstr>
      <vt:lpstr>LenderName</vt:lpstr>
      <vt:lpstr>LoanAmount</vt:lpstr>
      <vt:lpstr>LoanPeriod</vt:lpstr>
      <vt:lpstr>LoanStartDate</vt:lpstr>
      <vt:lpstr>PaymentsPerYear</vt:lpstr>
      <vt:lpstr>'Excel Amortization Schedule'!Print_Titles</vt:lpstr>
      <vt:lpstr>RowTitleRegion1..E9</vt:lpstr>
      <vt:lpstr>RowTitleRegion2..I7</vt:lpstr>
      <vt:lpstr>RowTitleRegion3..E9</vt:lpstr>
      <vt:lpstr>RowTitleRegion4..H9</vt:lpstr>
      <vt:lpstr>ScheduledNumberOfPayments</vt:lpstr>
      <vt:lpstr>ScheduledPayment</vt:lpstr>
    </vt:vector>
  </TitlesOfParts>
  <Company>MortgageCalculator.org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Excel Mortgage Calculator With Extra Payments</dc:title>
  <dc:subject>Calculate mortgage payments quickly and easily. Includes extra payments option.</dc:subject>
  <dc:creator>MortgageCalculator.org</dc:creator>
  <cp:keywords>mortgage; home loans; amortization</cp:keywords>
  <dc:description>web-ready Excel template to calculate montly mortgage payments with amortization schedule and extra payments.</dc:description>
  <cp:lastModifiedBy>Ryan Jones</cp:lastModifiedBy>
  <cp:revision>1</cp:revision>
  <cp:lastPrinted>2023-06-13T13:35:35Z</cp:lastPrinted>
  <dcterms:created xsi:type="dcterms:W3CDTF">2016-12-02T10:43:28Z</dcterms:created>
  <dcterms:modified xsi:type="dcterms:W3CDTF">2024-01-19T19:20:31Z</dcterms:modified>
  <cp:category>mortgage;home loans;amortization</cp:category>
  <cp:version>1.0</cp:version>
</cp:coreProperties>
</file>